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ozans\Downloads\"/>
    </mc:Choice>
  </mc:AlternateContent>
  <xr:revisionPtr revIDLastSave="0" documentId="13_ncr:1_{50FA219B-7133-4859-BCDD-9A1ADAD7F55D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üve Fiyat Hesaplama" sheetId="7" r:id="rId1"/>
    <sheet name="Rasyon Maliyeti Hesaplama" sheetId="6" r:id="rId2"/>
    <sheet name="DÜVE FİYAT KARŞILAŞTIRMA" sheetId="2" r:id="rId3"/>
  </sheets>
  <calcPr calcId="191029"/>
</workbook>
</file>

<file path=xl/calcChain.xml><?xml version="1.0" encoding="utf-8"?>
<calcChain xmlns="http://schemas.openxmlformats.org/spreadsheetml/2006/main">
  <c r="E15" i="7" l="1"/>
  <c r="G13" i="7"/>
  <c r="K4" i="7"/>
  <c r="A17" i="7" s="1"/>
  <c r="N11" i="2"/>
  <c r="L4" i="2"/>
  <c r="M4" i="2" s="1"/>
  <c r="L15" i="2"/>
  <c r="M15" i="2" s="1"/>
  <c r="N15" i="2"/>
  <c r="L12" i="2"/>
  <c r="M12" i="2" s="1"/>
  <c r="O12" i="2" s="1"/>
  <c r="N12" i="2"/>
  <c r="L13" i="2"/>
  <c r="M13" i="2" s="1"/>
  <c r="N13" i="2"/>
  <c r="L14" i="2"/>
  <c r="M14" i="2" s="1"/>
  <c r="O14" i="2" s="1"/>
  <c r="N14" i="2"/>
  <c r="L11" i="2"/>
  <c r="M11" i="2" s="1"/>
  <c r="N10" i="2"/>
  <c r="L10" i="2"/>
  <c r="M10" i="2" s="1"/>
  <c r="N9" i="2"/>
  <c r="L9" i="2"/>
  <c r="M9" i="2" s="1"/>
  <c r="N8" i="2"/>
  <c r="L8" i="2"/>
  <c r="M8" i="2" s="1"/>
  <c r="N7" i="2"/>
  <c r="N6" i="2"/>
  <c r="N5" i="2"/>
  <c r="L5" i="2"/>
  <c r="N4" i="2"/>
  <c r="O10" i="2" l="1"/>
  <c r="O13" i="2"/>
  <c r="O15" i="2"/>
  <c r="O9" i="2"/>
  <c r="O8" i="2"/>
  <c r="M5" i="2"/>
  <c r="O5" i="2" s="1"/>
  <c r="O4" i="2"/>
  <c r="L7" i="2"/>
  <c r="M7" i="2" s="1"/>
  <c r="O7" i="2" s="1"/>
  <c r="O11" i="2"/>
  <c r="K7" i="7"/>
  <c r="K6" i="7"/>
  <c r="F16" i="6"/>
  <c r="H16" i="6"/>
  <c r="J16" i="6"/>
  <c r="L16" i="6"/>
  <c r="D16" i="6"/>
  <c r="E3" i="6"/>
  <c r="G3" i="6"/>
  <c r="I3" i="6"/>
  <c r="K3" i="6"/>
  <c r="C3" i="6"/>
  <c r="E5" i="6"/>
  <c r="E16" i="6" s="1"/>
  <c r="G5" i="6"/>
  <c r="G16" i="6" s="1"/>
  <c r="G17" i="6" s="1"/>
  <c r="I5" i="6"/>
  <c r="I16" i="6" s="1"/>
  <c r="K5" i="6"/>
  <c r="C5" i="6"/>
  <c r="E4" i="6"/>
  <c r="G4" i="6"/>
  <c r="I4" i="6"/>
  <c r="K4" i="6"/>
  <c r="C4" i="6"/>
  <c r="K8" i="7" l="1"/>
  <c r="L6" i="2"/>
  <c r="M6" i="2" s="1"/>
  <c r="O6" i="2" s="1"/>
  <c r="I17" i="6"/>
  <c r="I19" i="6" s="1"/>
  <c r="E17" i="6"/>
  <c r="E19" i="6" s="1"/>
  <c r="G19" i="6"/>
  <c r="K16" i="6"/>
  <c r="K17" i="6" s="1"/>
  <c r="K19" i="6" s="1"/>
  <c r="C16" i="6"/>
  <c r="C17" i="6" s="1"/>
  <c r="C19" i="6" s="1"/>
  <c r="E14" i="7" s="1"/>
  <c r="K5" i="7" s="1"/>
  <c r="H26" i="7" l="1"/>
  <c r="H25" i="7" s="1"/>
  <c r="J24" i="7"/>
  <c r="B27" i="7"/>
  <c r="B25" i="7"/>
  <c r="C24" i="7"/>
  <c r="E24" i="7"/>
  <c r="E16" i="7"/>
  <c r="J26" i="7" l="1"/>
  <c r="K13" i="7"/>
  <c r="E21" i="6"/>
  <c r="I24" i="7"/>
  <c r="K21" i="6"/>
  <c r="K24" i="7"/>
  <c r="H27" i="7"/>
  <c r="J27" i="7" l="1"/>
  <c r="E17" i="7"/>
  <c r="I26" i="7"/>
  <c r="I27" i="7"/>
  <c r="I25" i="7"/>
  <c r="K26" i="7"/>
  <c r="K25" i="7"/>
  <c r="J25" i="7"/>
  <c r="K27" i="7"/>
  <c r="D27" i="7" l="1"/>
  <c r="D26" i="7"/>
  <c r="E25" i="7"/>
  <c r="E27" i="7"/>
  <c r="D25" i="7"/>
  <c r="C25" i="7"/>
  <c r="C26" i="7"/>
  <c r="C27" i="7"/>
  <c r="E26" i="7"/>
  <c r="I21" i="6"/>
  <c r="G21" i="6"/>
  <c r="C21" i="6"/>
  <c r="C29" i="7" l="1"/>
  <c r="J29" i="7"/>
  <c r="G29" i="7"/>
  <c r="K9" i="7"/>
  <c r="K10" i="7" s="1"/>
  <c r="G11" i="7" l="1"/>
  <c r="K11" i="7"/>
  <c r="K15" i="7" s="1"/>
  <c r="J1" i="7" s="1"/>
</calcChain>
</file>

<file path=xl/sharedStrings.xml><?xml version="1.0" encoding="utf-8"?>
<sst xmlns="http://schemas.openxmlformats.org/spreadsheetml/2006/main" count="99" uniqueCount="80">
  <si>
    <t>Gelirler</t>
  </si>
  <si>
    <t>Masraflar</t>
  </si>
  <si>
    <t>Süt Fiyatında Değişim Oranı, %</t>
  </si>
  <si>
    <t>SAĞMAL</t>
  </si>
  <si>
    <t>KURU</t>
  </si>
  <si>
    <t>MISIR SİLAJI</t>
  </si>
  <si>
    <t>SAMAN</t>
  </si>
  <si>
    <t>YONCA</t>
  </si>
  <si>
    <t>SIĞIR SÜT YEMİ</t>
  </si>
  <si>
    <t>SOYA TOHUMU KÜSPESİ</t>
  </si>
  <si>
    <t>YEM MADDESİ</t>
  </si>
  <si>
    <t>YEM FİYATI</t>
  </si>
  <si>
    <t>YEMİN TOPLAM GİDERDEKİ PAYI</t>
  </si>
  <si>
    <t>Değişkenler</t>
  </si>
  <si>
    <t>Değer</t>
  </si>
  <si>
    <t>Değerler</t>
  </si>
  <si>
    <t>Süt Verimi</t>
  </si>
  <si>
    <t>Normal</t>
  </si>
  <si>
    <t>En Fazla</t>
  </si>
  <si>
    <t>Hesaplamalar</t>
  </si>
  <si>
    <t>Aylık Faiz Oranı</t>
  </si>
  <si>
    <t>Yıllık Gelir Gider Farkı</t>
  </si>
  <si>
    <t>Aylık Gelir Gider Farkı</t>
  </si>
  <si>
    <t>Süt Fiyatı TL/L</t>
  </si>
  <si>
    <t>Laktasyondaki Tahmini Süt Verimi</t>
  </si>
  <si>
    <t>1 L SÜTÜN YEM MALİYETİ</t>
  </si>
  <si>
    <t>1 L SÜTÜN TOPLAM MALİYETİ</t>
  </si>
  <si>
    <t>Yıllık Faiz Oranı</t>
  </si>
  <si>
    <t>Düve veya İneğin Sürüde Kalma Süresi</t>
  </si>
  <si>
    <t>İneklerde Ölüm Oranı</t>
  </si>
  <si>
    <t>1 L Sütün Toplam Maliyeti</t>
  </si>
  <si>
    <t>Yemin Toplam Giderdeki Payı</t>
  </si>
  <si>
    <t>1 L Sütün Yem Maliyeti</t>
  </si>
  <si>
    <t>İNEK BAŞINA GÜNLÜK RASYON BEDELİ</t>
  </si>
  <si>
    <t>Bir Yılda Elde Edilen Süt Verimi</t>
  </si>
  <si>
    <t>305 Günlük Laktasyonda Günlük Süt Verimi</t>
  </si>
  <si>
    <t xml:space="preserve">LAKTASYON VE YILLIK SÜT VERİMİ İLE RASYON MALİYETİ </t>
  </si>
  <si>
    <t>Laktasyon Süt Verimi Ortalaması</t>
  </si>
  <si>
    <t>1 L Sütün Satış Fiyatı</t>
  </si>
  <si>
    <t>1 Haftalık Buzağının Satış Fiyatı</t>
  </si>
  <si>
    <t>Ayıklanan İneğin Satış Fiyatı</t>
  </si>
  <si>
    <t>Sürüde İki Doğum Arası Süre</t>
  </si>
  <si>
    <t>İnek Başına Satılabilir Buzağı Oranı</t>
  </si>
  <si>
    <t>İnek Başına Yıllık Süt Verimi</t>
  </si>
  <si>
    <t>İnek Başına Yıllık Buzağı Geliri</t>
  </si>
  <si>
    <t>İnek Başına Yıllık Süt Geliri</t>
  </si>
  <si>
    <t>YUKARIDAKİ KOŞULLARDA OLUŞAN EN DÜŞÜK VE EN YÜKSEK DÜVE/İNEK FİYATI</t>
  </si>
  <si>
    <t>Laktasyon Dönemi Günlük Süt Verimi</t>
  </si>
  <si>
    <t>İNEK BAŞINA YILLIK YEM MALİYETİ</t>
  </si>
  <si>
    <t>LAKTASYON SÜT VERİMİ, L</t>
  </si>
  <si>
    <t>SÜT FİYATI, TL/L</t>
  </si>
  <si>
    <t>BUZAĞI FİYATI, TL/BAŞ</t>
  </si>
  <si>
    <t>BUZAĞILAMA ARALIĞI, AY</t>
  </si>
  <si>
    <t>1 LİTRE SÜTÜN MALİYETİ, TL</t>
  </si>
  <si>
    <t>VERİMLİ ÖMÜR, AY</t>
  </si>
  <si>
    <t>AYIKLANAN İNEK FİYATI, TL</t>
  </si>
  <si>
    <t>İNEKLERDE ÖLÜM ORANI</t>
  </si>
  <si>
    <t>SATILABİLİR BUZAĞI ORANI</t>
  </si>
  <si>
    <t>YILLIK FAİZ ORANI</t>
  </si>
  <si>
    <t>AYLIK NET GELİR,TL</t>
  </si>
  <si>
    <t>AYLIK NET GELİRİN BUGÜNKÜ DEĞERİ,TL</t>
  </si>
  <si>
    <t>AYIKLANAN İNEĞİN BUGÜNKÜ DEĞERİ, TL</t>
  </si>
  <si>
    <t>YUKARIDA SADECE KIRMIZI RENKLİ HÜCRELERİ DEĞİŞTİRİNİZ</t>
  </si>
  <si>
    <t>Gelirde Değişim Oranı</t>
  </si>
  <si>
    <t>Masraflarda Değişim Oranı</t>
  </si>
  <si>
    <t>Laktasyon Süt Veriminde Değişim Miktarı, L</t>
  </si>
  <si>
    <t>Sadece KIRMIZI renkli hücreler değişitirilecektir.</t>
  </si>
  <si>
    <t>En Düşük</t>
  </si>
  <si>
    <t>İnek Başına Yıllık Toplam Gelir ( Süt + Buzağı)</t>
  </si>
  <si>
    <t>DÜVE VEYA İNEK IRKI/ GENOTİPİ</t>
  </si>
  <si>
    <t>SİMENTAL</t>
  </si>
  <si>
    <t>JERSEY</t>
  </si>
  <si>
    <t>ALACA</t>
  </si>
  <si>
    <t>.</t>
  </si>
  <si>
    <t>FARKLI IRKLAR/GENOTİPLER VE ÖZELLİKLERDEKİ DÜVELERİN DEĞİŞİK KOŞULLARDAKİ FİYATLARININ BİR ARADA HESAPLANMASINI SAĞLAR</t>
  </si>
  <si>
    <t>GEBE DÜVE VEYA İNEK İÇİN EN YÜKSEK SATIN ALMA FİYATI</t>
  </si>
  <si>
    <r>
      <t xml:space="preserve">Duyarlılık Analizi: </t>
    </r>
    <r>
      <rPr>
        <sz val="12"/>
        <rFont val="Arial"/>
        <family val="2"/>
        <charset val="162"/>
      </rPr>
      <t>Gelir ve Giderlerdeki Değişimin DÜVE/İNEK Fiyatına Etkisi</t>
    </r>
  </si>
  <si>
    <r>
      <t xml:space="preserve">Duyarlılık Analizi: </t>
    </r>
    <r>
      <rPr>
        <sz val="12"/>
        <rFont val="Arial"/>
        <family val="2"/>
        <charset val="162"/>
      </rPr>
      <t>Süt Fiyatı ve Süt Verimindeki Değişimin  DÜVE/İNEK Fiyatına Etkisi</t>
    </r>
  </si>
  <si>
    <r>
      <t xml:space="preserve"> A4:E12 Hücrelerinde Tanımlanan Koşullar ve Hesaplanan Rasyon Maliyetine Göre,                                                            İleri Gebe Bir Düve ya da İnek İçin </t>
    </r>
    <r>
      <rPr>
        <b/>
        <sz val="18"/>
        <rFont val="Arial"/>
        <family val="2"/>
        <charset val="162"/>
      </rPr>
      <t>ÖDENECEK EN YÜKSEK TUTAR</t>
    </r>
    <r>
      <rPr>
        <b/>
        <sz val="16"/>
        <rFont val="Arial"/>
        <family val="2"/>
        <charset val="162"/>
      </rPr>
      <t xml:space="preserve"> :</t>
    </r>
  </si>
  <si>
    <t xml:space="preserve"> A4:E12 Hücreleri Arasındaki Değerler İle Öngörülen Rasyon Maliyetine Göre İleri Gebe Bir Düve ya da İnek İçin Ödenecek En Yüksek Tutar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</si>
</sst>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#,##0\ &quot;TL&quot;"/>
    <numFmt numFmtId="168" formatCode="#,##0.00\ &quot;TL&quot;"/>
    <numFmt numFmtId="169" formatCode="#,##0.00\ &quot;kg&quot;"/>
    <numFmt numFmtId="170" formatCode="#,##0\ &quot;ay&quot;"/>
    <numFmt numFmtId="171" formatCode="#,##0\ &quot;L&quot;"/>
    <numFmt numFmtId="172" formatCode="#,##0.00\ &quot;L&quot;"/>
    <numFmt numFmtId="173" formatCode="#,##0.0\ &quot;TL&quot;"/>
    <numFmt numFmtId="174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  <charset val="162"/>
    </font>
    <font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4"/>
      <color rgb="FFFF0000"/>
      <name val="Arial"/>
      <family val="2"/>
      <charset val="162"/>
    </font>
    <font>
      <sz val="12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4"/>
      <name val="Arial"/>
      <family val="2"/>
      <charset val="162"/>
    </font>
    <font>
      <b/>
      <sz val="18"/>
      <color rgb="FFFF0000"/>
      <name val="Calibri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theme="0"/>
      <name val="Arial"/>
      <family val="2"/>
      <charset val="162"/>
    </font>
    <font>
      <b/>
      <sz val="16"/>
      <name val="Arial"/>
      <family val="2"/>
      <charset val="162"/>
    </font>
    <font>
      <sz val="11"/>
      <name val="Arial"/>
      <family val="2"/>
      <charset val="162"/>
    </font>
    <font>
      <b/>
      <sz val="18"/>
      <name val="Arial"/>
      <family val="2"/>
      <charset val="162"/>
    </font>
    <font>
      <b/>
      <sz val="14"/>
      <color rgb="FFFF0000"/>
      <name val="Arial"/>
      <family val="2"/>
      <charset val="162"/>
    </font>
    <font>
      <b/>
      <sz val="16"/>
      <color rgb="FFFF0000"/>
      <name val="Arial"/>
      <family val="2"/>
      <charset val="162"/>
    </font>
    <font>
      <b/>
      <sz val="22"/>
      <name val="Arial"/>
      <family val="2"/>
      <charset val="162"/>
    </font>
    <font>
      <sz val="14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gray0625">
        <bgColor theme="6" tint="0.59999389629810485"/>
      </patternFill>
    </fill>
    <fill>
      <patternFill patternType="solid">
        <fgColor theme="1" tint="0.499984740745262"/>
        <bgColor indexed="64"/>
      </patternFill>
    </fill>
  </fills>
  <borders count="7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dotted">
        <color theme="0"/>
      </top>
      <bottom style="dotted">
        <color theme="0"/>
      </bottom>
      <diagonal/>
    </border>
    <border>
      <left/>
      <right style="thin">
        <color theme="0"/>
      </right>
      <top style="dotted">
        <color theme="0"/>
      </top>
      <bottom style="dotted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9" borderId="0" xfId="0" applyFill="1" applyAlignment="1">
      <alignment horizontal="center" vertical="center"/>
    </xf>
    <xf numFmtId="3" fontId="2" fillId="11" borderId="30" xfId="0" applyNumberFormat="1" applyFont="1" applyFill="1" applyBorder="1" applyAlignment="1" applyProtection="1">
      <alignment horizontal="center" vertical="center"/>
      <protection locked="0"/>
    </xf>
    <xf numFmtId="4" fontId="2" fillId="11" borderId="30" xfId="0" applyNumberFormat="1" applyFont="1" applyFill="1" applyBorder="1" applyAlignment="1" applyProtection="1">
      <alignment horizontal="center" vertical="center"/>
      <protection locked="0"/>
    </xf>
    <xf numFmtId="170" fontId="2" fillId="11" borderId="30" xfId="0" applyNumberFormat="1" applyFont="1" applyFill="1" applyBorder="1" applyAlignment="1" applyProtection="1">
      <alignment horizontal="center" vertical="center"/>
      <protection locked="0"/>
    </xf>
    <xf numFmtId="9" fontId="2" fillId="11" borderId="30" xfId="3" applyFont="1" applyFill="1" applyBorder="1" applyAlignment="1" applyProtection="1">
      <alignment horizontal="center" vertical="center"/>
      <protection locked="0"/>
    </xf>
    <xf numFmtId="10" fontId="2" fillId="11" borderId="33" xfId="0" applyNumberFormat="1" applyFont="1" applyFill="1" applyBorder="1" applyAlignment="1" applyProtection="1">
      <alignment horizontal="center" vertical="center"/>
      <protection locked="0"/>
    </xf>
    <xf numFmtId="0" fontId="2" fillId="11" borderId="30" xfId="0" applyFont="1" applyFill="1" applyBorder="1" applyAlignment="1">
      <alignment horizontal="center" vertical="center"/>
    </xf>
    <xf numFmtId="174" fontId="3" fillId="12" borderId="30" xfId="1" applyNumberFormat="1" applyFont="1" applyFill="1" applyBorder="1" applyAlignment="1" applyProtection="1">
      <alignment horizontal="center" vertical="center"/>
    </xf>
    <xf numFmtId="3" fontId="3" fillId="12" borderId="30" xfId="0" applyNumberFormat="1" applyFont="1" applyFill="1" applyBorder="1" applyAlignment="1">
      <alignment horizontal="center" vertical="center"/>
    </xf>
    <xf numFmtId="3" fontId="4" fillId="12" borderId="30" xfId="0" applyNumberFormat="1" applyFont="1" applyFill="1" applyBorder="1" applyAlignment="1">
      <alignment horizontal="center" vertical="center"/>
    </xf>
    <xf numFmtId="3" fontId="4" fillId="12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9" fontId="6" fillId="2" borderId="1" xfId="3" applyFont="1" applyFill="1" applyBorder="1" applyAlignment="1" applyProtection="1">
      <alignment horizontal="center" vertical="center"/>
    </xf>
    <xf numFmtId="167" fontId="9" fillId="4" borderId="1" xfId="0" applyNumberFormat="1" applyFont="1" applyFill="1" applyBorder="1"/>
    <xf numFmtId="168" fontId="6" fillId="2" borderId="24" xfId="3" applyNumberFormat="1" applyFont="1" applyFill="1" applyBorder="1" applyAlignment="1" applyProtection="1">
      <alignment horizontal="center" vertical="center"/>
    </xf>
    <xf numFmtId="171" fontId="6" fillId="2" borderId="1" xfId="3" applyNumberFormat="1" applyFont="1" applyFill="1" applyBorder="1" applyAlignment="1" applyProtection="1">
      <alignment horizontal="center" vertical="center"/>
    </xf>
    <xf numFmtId="0" fontId="0" fillId="10" borderId="0" xfId="0" applyFill="1" applyProtection="1">
      <protection locked="0"/>
    </xf>
    <xf numFmtId="0" fontId="1" fillId="10" borderId="0" xfId="0" applyFont="1" applyFill="1"/>
    <xf numFmtId="0" fontId="0" fillId="6" borderId="0" xfId="0" applyFill="1" applyProtection="1">
      <protection locked="0"/>
    </xf>
    <xf numFmtId="0" fontId="1" fillId="10" borderId="0" xfId="0" applyFont="1" applyFill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1" fillId="9" borderId="0" xfId="0" applyFont="1" applyFill="1"/>
    <xf numFmtId="168" fontId="10" fillId="5" borderId="36" xfId="2" applyNumberFormat="1" applyFont="1" applyFill="1" applyBorder="1" applyAlignment="1" applyProtection="1">
      <alignment horizontal="center" vertical="center"/>
      <protection locked="0"/>
    </xf>
    <xf numFmtId="167" fontId="10" fillId="4" borderId="36" xfId="2" applyNumberFormat="1" applyFont="1" applyFill="1" applyBorder="1" applyAlignment="1" applyProtection="1">
      <alignment horizontal="center" vertical="center"/>
      <protection locked="0"/>
    </xf>
    <xf numFmtId="167" fontId="10" fillId="5" borderId="36" xfId="2" applyNumberFormat="1" applyFont="1" applyFill="1" applyBorder="1" applyAlignment="1" applyProtection="1">
      <alignment horizontal="center" vertical="center"/>
      <protection locked="0"/>
    </xf>
    <xf numFmtId="166" fontId="10" fillId="4" borderId="36" xfId="3" applyNumberFormat="1" applyFont="1" applyFill="1" applyBorder="1" applyAlignment="1" applyProtection="1">
      <alignment horizontal="center" vertical="center"/>
      <protection locked="0"/>
    </xf>
    <xf numFmtId="170" fontId="10" fillId="5" borderId="36" xfId="1" applyNumberFormat="1" applyFont="1" applyFill="1" applyBorder="1" applyAlignment="1" applyProtection="1">
      <alignment horizontal="center" vertical="center"/>
      <protection locked="0"/>
    </xf>
    <xf numFmtId="170" fontId="10" fillId="4" borderId="36" xfId="0" applyNumberFormat="1" applyFont="1" applyFill="1" applyBorder="1" applyAlignment="1" applyProtection="1">
      <alignment horizontal="center" vertical="center"/>
      <protection locked="0"/>
    </xf>
    <xf numFmtId="166" fontId="10" fillId="5" borderId="36" xfId="3" applyNumberFormat="1" applyFont="1" applyFill="1" applyBorder="1" applyAlignment="1" applyProtection="1">
      <alignment horizontal="center" vertical="center"/>
      <protection locked="0"/>
    </xf>
    <xf numFmtId="166" fontId="10" fillId="4" borderId="37" xfId="0" applyNumberFormat="1" applyFont="1" applyFill="1" applyBorder="1" applyAlignment="1" applyProtection="1">
      <alignment horizontal="center" vertical="center"/>
      <protection locked="0"/>
    </xf>
    <xf numFmtId="166" fontId="10" fillId="8" borderId="36" xfId="0" applyNumberFormat="1" applyFont="1" applyFill="1" applyBorder="1" applyAlignment="1" applyProtection="1">
      <alignment horizontal="center" vertical="center"/>
      <protection locked="0"/>
    </xf>
    <xf numFmtId="166" fontId="10" fillId="8" borderId="39" xfId="0" applyNumberFormat="1" applyFont="1" applyFill="1" applyBorder="1" applyAlignment="1" applyProtection="1">
      <alignment horizontal="center" vertical="center"/>
      <protection locked="0"/>
    </xf>
    <xf numFmtId="9" fontId="6" fillId="2" borderId="36" xfId="3" applyFont="1" applyFill="1" applyBorder="1" applyAlignment="1" applyProtection="1">
      <alignment horizontal="center" vertical="center"/>
    </xf>
    <xf numFmtId="167" fontId="9" fillId="4" borderId="36" xfId="0" applyNumberFormat="1" applyFont="1" applyFill="1" applyBorder="1"/>
    <xf numFmtId="167" fontId="6" fillId="4" borderId="1" xfId="0" applyNumberFormat="1" applyFont="1" applyFill="1" applyBorder="1"/>
    <xf numFmtId="0" fontId="1" fillId="10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169" fontId="11" fillId="4" borderId="6" xfId="0" applyNumberFormat="1" applyFont="1" applyFill="1" applyBorder="1" applyAlignment="1" applyProtection="1">
      <alignment horizontal="center" vertical="center"/>
      <protection locked="0"/>
    </xf>
    <xf numFmtId="169" fontId="11" fillId="4" borderId="7" xfId="0" applyNumberFormat="1" applyFont="1" applyFill="1" applyBorder="1" applyAlignment="1" applyProtection="1">
      <alignment horizontal="center" vertical="center"/>
      <protection locked="0"/>
    </xf>
    <xf numFmtId="168" fontId="11" fillId="5" borderId="2" xfId="0" applyNumberFormat="1" applyFont="1" applyFill="1" applyBorder="1" applyAlignment="1" applyProtection="1">
      <alignment horizontal="center" vertical="center"/>
      <protection locked="0"/>
    </xf>
    <xf numFmtId="169" fontId="11" fillId="5" borderId="6" xfId="0" applyNumberFormat="1" applyFont="1" applyFill="1" applyBorder="1" applyAlignment="1" applyProtection="1">
      <alignment horizontal="center" vertical="center"/>
      <protection locked="0"/>
    </xf>
    <xf numFmtId="169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168" fontId="17" fillId="2" borderId="6" xfId="0" applyNumberFormat="1" applyFont="1" applyFill="1" applyBorder="1" applyAlignment="1">
      <alignment horizontal="center" vertical="center"/>
    </xf>
    <xf numFmtId="168" fontId="17" fillId="2" borderId="7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168" fontId="6" fillId="5" borderId="49" xfId="2" applyNumberFormat="1" applyFont="1" applyFill="1" applyBorder="1" applyAlignment="1" applyProtection="1">
      <alignment horizontal="center" vertical="center"/>
    </xf>
    <xf numFmtId="168" fontId="6" fillId="4" borderId="41" xfId="2" applyNumberFormat="1" applyFont="1" applyFill="1" applyBorder="1" applyAlignment="1" applyProtection="1">
      <alignment horizontal="center" vertical="center"/>
    </xf>
    <xf numFmtId="171" fontId="10" fillId="4" borderId="41" xfId="1" applyNumberFormat="1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>
      <alignment horizontal="center" vertical="center"/>
    </xf>
    <xf numFmtId="171" fontId="6" fillId="4" borderId="58" xfId="0" quotePrefix="1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vertical="center"/>
    </xf>
    <xf numFmtId="0" fontId="6" fillId="2" borderId="55" xfId="0" applyFont="1" applyFill="1" applyBorder="1" applyAlignment="1">
      <alignment vertical="center"/>
    </xf>
    <xf numFmtId="167" fontId="12" fillId="5" borderId="37" xfId="0" quotePrefix="1" applyNumberFormat="1" applyFont="1" applyFill="1" applyBorder="1" applyAlignment="1">
      <alignment horizontal="center" vertical="center"/>
    </xf>
    <xf numFmtId="0" fontId="1" fillId="9" borderId="59" xfId="0" applyFont="1" applyFill="1" applyBorder="1"/>
    <xf numFmtId="0" fontId="1" fillId="10" borderId="59" xfId="0" applyFont="1" applyFill="1" applyBorder="1"/>
    <xf numFmtId="166" fontId="10" fillId="8" borderId="18" xfId="0" applyNumberFormat="1" applyFont="1" applyFill="1" applyBorder="1" applyAlignment="1" applyProtection="1">
      <alignment horizontal="center" vertical="center"/>
      <protection locked="0"/>
    </xf>
    <xf numFmtId="171" fontId="10" fillId="8" borderId="11" xfId="0" applyNumberFormat="1" applyFont="1" applyFill="1" applyBorder="1" applyAlignment="1" applyProtection="1">
      <alignment horizontal="center" vertical="center"/>
      <protection locked="0"/>
    </xf>
    <xf numFmtId="168" fontId="6" fillId="2" borderId="18" xfId="3" applyNumberFormat="1" applyFont="1" applyFill="1" applyBorder="1" applyAlignment="1" applyProtection="1">
      <alignment horizontal="center" vertical="center"/>
    </xf>
    <xf numFmtId="167" fontId="9" fillId="4" borderId="2" xfId="0" applyNumberFormat="1" applyFont="1" applyFill="1" applyBorder="1"/>
    <xf numFmtId="0" fontId="1" fillId="10" borderId="61" xfId="0" applyFont="1" applyFill="1" applyBorder="1"/>
    <xf numFmtId="10" fontId="12" fillId="4" borderId="36" xfId="0" applyNumberFormat="1" applyFont="1" applyFill="1" applyBorder="1" applyAlignment="1">
      <alignment horizontal="center" vertical="center"/>
    </xf>
    <xf numFmtId="166" fontId="12" fillId="5" borderId="36" xfId="3" applyNumberFormat="1" applyFont="1" applyFill="1" applyBorder="1" applyAlignment="1" applyProtection="1">
      <alignment horizontal="center" vertical="center"/>
    </xf>
    <xf numFmtId="167" fontId="6" fillId="4" borderId="49" xfId="0" quotePrefix="1" applyNumberFormat="1" applyFont="1" applyFill="1" applyBorder="1" applyAlignment="1">
      <alignment horizontal="center" vertical="center"/>
    </xf>
    <xf numFmtId="173" fontId="6" fillId="4" borderId="49" xfId="0" applyNumberFormat="1" applyFont="1" applyFill="1" applyBorder="1" applyAlignment="1">
      <alignment horizontal="center" vertical="center"/>
    </xf>
    <xf numFmtId="167" fontId="6" fillId="5" borderId="49" xfId="0" quotePrefix="1" applyNumberFormat="1" applyFont="1" applyFill="1" applyBorder="1" applyAlignment="1">
      <alignment horizontal="center" vertical="center"/>
    </xf>
    <xf numFmtId="167" fontId="6" fillId="5" borderId="49" xfId="0" applyNumberFormat="1" applyFont="1" applyFill="1" applyBorder="1" applyAlignment="1">
      <alignment horizontal="center" vertical="center"/>
    </xf>
    <xf numFmtId="167" fontId="6" fillId="4" borderId="49" xfId="2" applyNumberFormat="1" applyFont="1" applyFill="1" applyBorder="1" applyAlignment="1" applyProtection="1">
      <alignment horizontal="center" vertical="center"/>
    </xf>
    <xf numFmtId="9" fontId="6" fillId="2" borderId="75" xfId="3" applyFont="1" applyFill="1" applyBorder="1" applyAlignment="1" applyProtection="1">
      <alignment horizontal="center" vertical="center"/>
    </xf>
    <xf numFmtId="167" fontId="9" fillId="4" borderId="75" xfId="0" applyNumberFormat="1" applyFont="1" applyFill="1" applyBorder="1"/>
    <xf numFmtId="167" fontId="9" fillId="4" borderId="39" xfId="0" applyNumberFormat="1" applyFont="1" applyFill="1" applyBorder="1"/>
    <xf numFmtId="171" fontId="6" fillId="2" borderId="75" xfId="3" applyNumberFormat="1" applyFont="1" applyFill="1" applyBorder="1" applyAlignment="1" applyProtection="1">
      <alignment horizontal="center" vertical="center"/>
    </xf>
    <xf numFmtId="167" fontId="9" fillId="4" borderId="11" xfId="0" applyNumberFormat="1" applyFont="1" applyFill="1" applyBorder="1"/>
    <xf numFmtId="0" fontId="6" fillId="14" borderId="77" xfId="0" applyFont="1" applyFill="1" applyBorder="1"/>
    <xf numFmtId="0" fontId="1" fillId="16" borderId="0" xfId="0" applyFont="1" applyFill="1"/>
    <xf numFmtId="0" fontId="6" fillId="16" borderId="0" xfId="0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9" fillId="16" borderId="0" xfId="0" applyFont="1" applyFill="1"/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/>
    </xf>
    <xf numFmtId="167" fontId="6" fillId="5" borderId="49" xfId="0" quotePrefix="1" applyNumberFormat="1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left" vertical="center" wrapText="1"/>
    </xf>
    <xf numFmtId="0" fontId="9" fillId="4" borderId="66" xfId="0" applyFont="1" applyFill="1" applyBorder="1" applyAlignment="1">
      <alignment horizontal="left" vertical="center" wrapText="1"/>
    </xf>
    <xf numFmtId="0" fontId="9" fillId="4" borderId="67" xfId="0" applyFont="1" applyFill="1" applyBorder="1" applyAlignment="1">
      <alignment horizontal="left" vertical="center" wrapText="1"/>
    </xf>
    <xf numFmtId="0" fontId="9" fillId="4" borderId="45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74" xfId="0" applyFont="1" applyFill="1" applyBorder="1" applyAlignment="1">
      <alignment horizontal="left" vertical="center" wrapText="1"/>
    </xf>
    <xf numFmtId="0" fontId="9" fillId="8" borderId="43" xfId="0" applyFont="1" applyFill="1" applyBorder="1" applyAlignment="1">
      <alignment horizontal="right"/>
    </xf>
    <xf numFmtId="0" fontId="9" fillId="8" borderId="21" xfId="0" applyFont="1" applyFill="1" applyBorder="1" applyAlignment="1">
      <alignment horizontal="right"/>
    </xf>
    <xf numFmtId="0" fontId="9" fillId="8" borderId="10" xfId="0" applyFont="1" applyFill="1" applyBorder="1" applyAlignment="1">
      <alignment horizontal="right"/>
    </xf>
    <xf numFmtId="0" fontId="9" fillId="8" borderId="17" xfId="0" applyFont="1" applyFill="1" applyBorder="1" applyAlignment="1">
      <alignment horizontal="right"/>
    </xf>
    <xf numFmtId="0" fontId="6" fillId="2" borderId="3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left" vertical="center"/>
    </xf>
    <xf numFmtId="0" fontId="9" fillId="4" borderId="63" xfId="0" applyFont="1" applyFill="1" applyBorder="1" applyAlignment="1">
      <alignment horizontal="left" vertical="center"/>
    </xf>
    <xf numFmtId="0" fontId="9" fillId="4" borderId="64" xfId="0" applyFont="1" applyFill="1" applyBorder="1" applyAlignment="1">
      <alignment horizontal="left" vertical="center"/>
    </xf>
    <xf numFmtId="167" fontId="6" fillId="4" borderId="49" xfId="0" quotePrefix="1" applyNumberFormat="1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73" xfId="0" applyFont="1" applyFill="1" applyBorder="1" applyAlignment="1">
      <alignment horizontal="left" vertical="center" wrapText="1"/>
    </xf>
    <xf numFmtId="0" fontId="9" fillId="5" borderId="45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9" fillId="5" borderId="74" xfId="0" applyFont="1" applyFill="1" applyBorder="1" applyAlignment="1">
      <alignment horizontal="left" vertical="center" wrapText="1"/>
    </xf>
    <xf numFmtId="0" fontId="9" fillId="8" borderId="40" xfId="0" applyFont="1" applyFill="1" applyBorder="1" applyAlignment="1">
      <alignment horizontal="right"/>
    </xf>
    <xf numFmtId="0" fontId="9" fillId="8" borderId="24" xfId="0" applyFont="1" applyFill="1" applyBorder="1" applyAlignment="1">
      <alignment horizontal="right"/>
    </xf>
    <xf numFmtId="0" fontId="16" fillId="13" borderId="0" xfId="0" applyFont="1" applyFill="1" applyAlignment="1">
      <alignment horizontal="center" vertical="center" wrapText="1"/>
    </xf>
    <xf numFmtId="167" fontId="21" fillId="15" borderId="30" xfId="0" applyNumberFormat="1" applyFont="1" applyFill="1" applyBorder="1" applyAlignment="1">
      <alignment horizontal="center" vertical="center" wrapText="1"/>
    </xf>
    <xf numFmtId="0" fontId="21" fillId="15" borderId="30" xfId="0" applyFont="1" applyFill="1" applyBorder="1" applyAlignment="1">
      <alignment horizontal="center" vertical="center" wrapText="1"/>
    </xf>
    <xf numFmtId="0" fontId="21" fillId="15" borderId="32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52" xfId="0" applyBorder="1"/>
    <xf numFmtId="2" fontId="20" fillId="11" borderId="0" xfId="0" applyNumberFormat="1" applyFont="1" applyFill="1" applyAlignment="1">
      <alignment horizontal="center" vertical="center" textRotation="90" wrapText="1"/>
    </xf>
    <xf numFmtId="0" fontId="9" fillId="5" borderId="43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/>
    </xf>
    <xf numFmtId="0" fontId="22" fillId="5" borderId="21" xfId="0" applyFont="1" applyFill="1" applyBorder="1" applyAlignment="1">
      <alignment horizontal="left"/>
    </xf>
    <xf numFmtId="0" fontId="22" fillId="4" borderId="43" xfId="0" applyFont="1" applyFill="1" applyBorder="1" applyAlignment="1">
      <alignment horizontal="left"/>
    </xf>
    <xf numFmtId="0" fontId="22" fillId="4" borderId="21" xfId="0" applyFont="1" applyFill="1" applyBorder="1" applyAlignment="1">
      <alignment horizontal="left"/>
    </xf>
    <xf numFmtId="0" fontId="22" fillId="4" borderId="45" xfId="0" applyFont="1" applyFill="1" applyBorder="1" applyAlignment="1">
      <alignment horizontal="left"/>
    </xf>
    <xf numFmtId="0" fontId="22" fillId="4" borderId="25" xfId="0" applyFont="1" applyFill="1" applyBorder="1" applyAlignment="1">
      <alignment horizontal="left"/>
    </xf>
    <xf numFmtId="0" fontId="9" fillId="5" borderId="34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68" xfId="0" applyFont="1" applyFill="1" applyBorder="1" applyAlignment="1">
      <alignment horizontal="left" vertical="center" wrapText="1"/>
    </xf>
    <xf numFmtId="0" fontId="9" fillId="5" borderId="69" xfId="0" applyFont="1" applyFill="1" applyBorder="1" applyAlignment="1">
      <alignment horizontal="left" vertical="center" wrapText="1"/>
    </xf>
    <xf numFmtId="0" fontId="9" fillId="5" borderId="70" xfId="0" applyFont="1" applyFill="1" applyBorder="1" applyAlignment="1">
      <alignment horizontal="left" vertical="center" wrapText="1"/>
    </xf>
    <xf numFmtId="0" fontId="9" fillId="5" borderId="71" xfId="0" applyFont="1" applyFill="1" applyBorder="1" applyAlignment="1">
      <alignment horizontal="left" vertical="center" wrapText="1"/>
    </xf>
    <xf numFmtId="167" fontId="6" fillId="5" borderId="49" xfId="0" applyNumberFormat="1" applyFont="1" applyFill="1" applyBorder="1" applyAlignment="1">
      <alignment horizontal="center" vertical="center"/>
    </xf>
    <xf numFmtId="167" fontId="6" fillId="5" borderId="50" xfId="0" applyNumberFormat="1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left" vertical="center"/>
    </xf>
    <xf numFmtId="0" fontId="12" fillId="5" borderId="47" xfId="0" applyFont="1" applyFill="1" applyBorder="1" applyAlignment="1">
      <alignment horizontal="left" vertical="center"/>
    </xf>
    <xf numFmtId="0" fontId="12" fillId="5" borderId="5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6" fillId="11" borderId="76" xfId="0" applyFont="1" applyFill="1" applyBorder="1" applyAlignment="1">
      <alignment horizontal="center"/>
    </xf>
    <xf numFmtId="0" fontId="6" fillId="11" borderId="77" xfId="0" applyFont="1" applyFill="1" applyBorder="1" applyAlignment="1">
      <alignment horizontal="center"/>
    </xf>
    <xf numFmtId="167" fontId="6" fillId="11" borderId="77" xfId="0" applyNumberFormat="1" applyFont="1" applyFill="1" applyBorder="1" applyAlignment="1">
      <alignment horizontal="center"/>
    </xf>
    <xf numFmtId="0" fontId="6" fillId="13" borderId="77" xfId="0" applyFont="1" applyFill="1" applyBorder="1" applyAlignment="1">
      <alignment horizontal="center"/>
    </xf>
    <xf numFmtId="167" fontId="6" fillId="13" borderId="77" xfId="0" applyNumberFormat="1" applyFont="1" applyFill="1" applyBorder="1" applyAlignment="1">
      <alignment horizontal="center"/>
    </xf>
    <xf numFmtId="167" fontId="6" fillId="14" borderId="77" xfId="0" applyNumberFormat="1" applyFont="1" applyFill="1" applyBorder="1" applyAlignment="1">
      <alignment horizontal="center"/>
    </xf>
    <xf numFmtId="167" fontId="6" fillId="14" borderId="78" xfId="0" applyNumberFormat="1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right"/>
    </xf>
    <xf numFmtId="0" fontId="9" fillId="8" borderId="1" xfId="0" applyFont="1" applyFill="1" applyBorder="1" applyAlignment="1">
      <alignment horizontal="right"/>
    </xf>
    <xf numFmtId="168" fontId="6" fillId="4" borderId="12" xfId="0" applyNumberFormat="1" applyFont="1" applyFill="1" applyBorder="1" applyAlignment="1">
      <alignment horizontal="center" vertical="center"/>
    </xf>
    <xf numFmtId="168" fontId="6" fillId="4" borderId="0" xfId="0" applyNumberFormat="1" applyFont="1" applyFill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168" fontId="6" fillId="4" borderId="11" xfId="0" applyNumberFormat="1" applyFont="1" applyFill="1" applyBorder="1" applyAlignment="1">
      <alignment horizontal="center" vertical="center" wrapText="1"/>
    </xf>
    <xf numFmtId="168" fontId="6" fillId="4" borderId="10" xfId="0" applyNumberFormat="1" applyFont="1" applyFill="1" applyBorder="1" applyAlignment="1">
      <alignment horizontal="center" vertical="center"/>
    </xf>
    <xf numFmtId="9" fontId="10" fillId="5" borderId="15" xfId="3" applyFont="1" applyFill="1" applyBorder="1" applyAlignment="1" applyProtection="1">
      <alignment horizontal="center" vertical="center"/>
      <protection locked="0"/>
    </xf>
    <xf numFmtId="9" fontId="10" fillId="5" borderId="14" xfId="3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68" fontId="6" fillId="2" borderId="8" xfId="0" applyNumberFormat="1" applyFont="1" applyFill="1" applyBorder="1" applyAlignment="1">
      <alignment horizontal="center" vertical="center"/>
    </xf>
    <xf numFmtId="168" fontId="6" fillId="2" borderId="9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171" fontId="6" fillId="2" borderId="2" xfId="0" applyNumberFormat="1" applyFont="1" applyFill="1" applyBorder="1" applyAlignment="1">
      <alignment horizontal="center" vertical="center"/>
    </xf>
    <xf numFmtId="171" fontId="6" fillId="2" borderId="3" xfId="0" applyNumberFormat="1" applyFont="1" applyFill="1" applyBorder="1" applyAlignment="1">
      <alignment horizontal="center" vertical="center"/>
    </xf>
    <xf numFmtId="172" fontId="6" fillId="2" borderId="23" xfId="0" applyNumberFormat="1" applyFont="1" applyFill="1" applyBorder="1" applyAlignment="1">
      <alignment horizontal="center" vertical="center"/>
    </xf>
    <xf numFmtId="172" fontId="6" fillId="2" borderId="22" xfId="0" applyNumberFormat="1" applyFont="1" applyFill="1" applyBorder="1" applyAlignment="1">
      <alignment horizontal="center" vertical="center"/>
    </xf>
    <xf numFmtId="9" fontId="10" fillId="5" borderId="13" xfId="3" applyFont="1" applyFill="1" applyBorder="1" applyAlignment="1" applyProtection="1">
      <alignment horizontal="center" vertical="center"/>
      <protection locked="0"/>
    </xf>
    <xf numFmtId="9" fontId="10" fillId="5" borderId="16" xfId="3" applyFont="1" applyFill="1" applyBorder="1" applyAlignment="1" applyProtection="1">
      <alignment horizontal="center" vertical="center"/>
      <protection locked="0"/>
    </xf>
    <xf numFmtId="173" fontId="6" fillId="2" borderId="8" xfId="0" applyNumberFormat="1" applyFont="1" applyFill="1" applyBorder="1" applyAlignment="1">
      <alignment horizontal="center" vertical="center"/>
    </xf>
    <xf numFmtId="173" fontId="6" fillId="2" borderId="9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textRotation="90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171" fontId="19" fillId="2" borderId="4" xfId="0" applyNumberFormat="1" applyFont="1" applyFill="1" applyBorder="1" applyAlignment="1" applyProtection="1">
      <alignment horizontal="center" vertical="center"/>
      <protection locked="0"/>
    </xf>
    <xf numFmtId="171" fontId="19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11" borderId="30" xfId="0" applyFont="1" applyFill="1" applyBorder="1" applyAlignment="1">
      <alignment horizontal="center" vertical="center" wrapText="1"/>
    </xf>
    <xf numFmtId="0" fontId="7" fillId="11" borderId="32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</cellXfs>
  <cellStyles count="4">
    <cellStyle name="Normal" xfId="0" builtinId="0"/>
    <cellStyle name="ParaBirimi" xfId="2" builtinId="4"/>
    <cellStyle name="Virgül" xfId="1" builtinId="3"/>
    <cellStyle name="Yüzd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</xdr:rowOff>
    </xdr:from>
    <xdr:to>
      <xdr:col>11</xdr:col>
      <xdr:colOff>0</xdr:colOff>
      <xdr:row>50</xdr:row>
      <xdr:rowOff>145678</xdr:rowOff>
    </xdr:to>
    <xdr:sp macro="" textlink="">
      <xdr:nvSpPr>
        <xdr:cNvPr id="4" name="3 Metin kutus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6790766"/>
          <a:ext cx="11037794" cy="3821206"/>
        </a:xfrm>
        <a:prstGeom prst="rect">
          <a:avLst/>
        </a:prstGeom>
        <a:blipFill>
          <a:blip xmlns:r="http://schemas.openxmlformats.org/officeDocument/2006/relationships" r:embed="rId1" cstate="print"/>
          <a:tile tx="0" ty="0" sx="100000" sy="100000" flip="none" algn="tl"/>
        </a:blip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</a:t>
          </a:r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Haftalık Buzağı Satış Fiyatı:</a:t>
          </a:r>
          <a:r>
            <a:rPr lang="tr-TR" sz="14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4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En fazla</a:t>
          </a:r>
          <a:r>
            <a:rPr lang="tr-TR" sz="14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7-15 günlük buzağının satış fiyatıdır.</a:t>
          </a:r>
          <a:r>
            <a:rPr lang="tr-TR" sz="14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tr-TR" sz="14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Eğer İşletme Sütten Kesilmiş Buzağı Satıyorsa "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4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1 Haftalık  Satış Fiyatı";nı ( Sütten  kesilmiş buzağı fiyatı-275 kg süt tutarı -75 kg Buzağı</a:t>
          </a:r>
          <a:r>
            <a:rPr lang="tr-TR" sz="14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Yemi Tutarı) eşitliğinden hesaplayabilir.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r-TR" sz="14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Ayıklanan inek geliri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Yaşlılık hastalık vb. nedenlerle sürüden çıkarılan inek başına ortalama satış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fiyatı. </a:t>
          </a:r>
        </a:p>
        <a:p>
          <a:pPr algn="l"/>
          <a:endParaRPr lang="tr-TR" sz="1400">
            <a:latin typeface="Arial" pitchFamily="34" charset="0"/>
            <a:cs typeface="Arial" pitchFamily="34" charset="0"/>
          </a:endParaRPr>
        </a:p>
        <a:p>
          <a:pPr algn="l" eaLnBrk="1" fontAlgn="base" latinLnBrk="0" hangingPunct="1"/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</a:t>
          </a:r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Yıllık faiz oranı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Mevduata verilen yıllık faiz oranıdır.</a:t>
          </a:r>
          <a:endParaRPr lang="tr-TR" sz="140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endParaRPr lang="tr-TR" sz="14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Sürüde Kalma Süresi (Ay): 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Ayıklanan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i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neklerin sürüden çıkarıldıklarındaki yaşları ortalaması ile ilk doğurduklarındaki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yaşları 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ortalaması arasındaki farktır.</a:t>
          </a:r>
        </a:p>
        <a:p>
          <a:pPr algn="l" eaLnBrk="1" fontAlgn="auto" latinLnBrk="0" hangingPunct="1"/>
          <a:endParaRPr lang="tr-T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İki Doğum Arası Süre (Ay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): Sürüde ineklerin birbirini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izleyen iki doğumları arasındaki sürenin ortalamasıdır.</a:t>
          </a:r>
        </a:p>
        <a:p>
          <a:pPr algn="l" eaLnBrk="1" fontAlgn="auto" latinLnBrk="0" hangingPunct="1"/>
          <a:endParaRPr lang="tr-T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İneklerde ölüm oranı: 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Bir yıl içerisinde öngörülen geliri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sağlamadan 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ölen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oranıdır.</a:t>
          </a:r>
        </a:p>
        <a:p>
          <a:pPr algn="l" eaLnBrk="1" fontAlgn="auto" latinLnBrk="0" hangingPunct="1"/>
          <a:endParaRPr lang="tr-TR" sz="14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r>
            <a:rPr lang="tr-TR" sz="14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İnek Başına Satılabilir Buzağı Oranı</a:t>
          </a:r>
          <a:r>
            <a:rPr lang="tr-TR" sz="14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tr-TR" sz="14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Doğuracak 100 inekten kaçının buzağısı satılacak durumdadır. (Doğumda</a:t>
          </a:r>
          <a:r>
            <a:rPr lang="tr-TR" sz="14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ölen, Sakat doğan, vb nedenlerle hayatta olmayanlar hariç).</a:t>
          </a:r>
        </a:p>
        <a:p>
          <a:pPr algn="l" eaLnBrk="1" fontAlgn="auto" latinLnBrk="0" hangingPunct="1"/>
          <a:endParaRPr lang="tr-TR" sz="1400" b="0" baseline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eaLnBrk="1" fontAlgn="auto" latinLnBrk="0" hangingPunct="1"/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* </a:t>
          </a:r>
          <a:r>
            <a:rPr lang="tr-TR" sz="14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1 L Sütün Yem Maliyeti: </a:t>
          </a:r>
          <a:r>
            <a:rPr lang="tr-TR" sz="14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Rasyon Fiyatı Hesaplama Sayfasında Hesaplanacaktır (hesaplanmakta</a:t>
          </a:r>
          <a:r>
            <a:rPr lang="tr-TR" sz="12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dır).</a:t>
          </a:r>
        </a:p>
        <a:p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Y51"/>
  <sheetViews>
    <sheetView tabSelected="1" zoomScale="85" zoomScaleNormal="85" workbookViewId="0">
      <selection activeCell="A8" sqref="A8:D8"/>
    </sheetView>
  </sheetViews>
  <sheetFormatPr defaultColWidth="9.109375" defaultRowHeight="13.2" x14ac:dyDescent="0.25"/>
  <cols>
    <col min="1" max="5" width="15.6640625" style="80" customWidth="1"/>
    <col min="6" max="6" width="7.5546875" style="80" customWidth="1"/>
    <col min="7" max="11" width="15.6640625" style="80" customWidth="1"/>
    <col min="12" max="12" width="2.109375" style="80" customWidth="1"/>
    <col min="13" max="16384" width="9.109375" style="80"/>
  </cols>
  <sheetData>
    <row r="1" spans="1:25" ht="21.9" customHeight="1" x14ac:dyDescent="0.25">
      <c r="A1" s="122" t="s">
        <v>78</v>
      </c>
      <c r="B1" s="122"/>
      <c r="C1" s="122"/>
      <c r="D1" s="122"/>
      <c r="E1" s="122"/>
      <c r="F1" s="122"/>
      <c r="G1" s="122"/>
      <c r="H1" s="122"/>
      <c r="I1" s="122"/>
      <c r="J1" s="123">
        <f>K15</f>
        <v>148094.27965931941</v>
      </c>
      <c r="K1" s="124"/>
      <c r="L1" s="18"/>
      <c r="V1" s="81"/>
      <c r="W1" s="82"/>
      <c r="X1" s="82"/>
      <c r="Y1" s="82"/>
    </row>
    <row r="2" spans="1:25" ht="21.9" customHeight="1" thickBot="1" x14ac:dyDescent="0.3">
      <c r="A2" s="122"/>
      <c r="B2" s="122"/>
      <c r="C2" s="122"/>
      <c r="D2" s="122"/>
      <c r="E2" s="122"/>
      <c r="F2" s="122"/>
      <c r="G2" s="122"/>
      <c r="H2" s="122"/>
      <c r="I2" s="122"/>
      <c r="J2" s="125"/>
      <c r="K2" s="125"/>
      <c r="L2" s="18"/>
      <c r="V2" s="81"/>
      <c r="W2" s="82"/>
      <c r="X2" s="82"/>
      <c r="Y2" s="82"/>
    </row>
    <row r="3" spans="1:25" ht="20.100000000000001" customHeight="1" thickBot="1" x14ac:dyDescent="0.3">
      <c r="A3" s="126" t="s">
        <v>13</v>
      </c>
      <c r="B3" s="127"/>
      <c r="C3" s="127"/>
      <c r="D3" s="128"/>
      <c r="E3" s="55" t="s">
        <v>14</v>
      </c>
      <c r="F3" s="132" t="s">
        <v>66</v>
      </c>
      <c r="G3" s="126" t="s">
        <v>19</v>
      </c>
      <c r="H3" s="127"/>
      <c r="I3" s="127"/>
      <c r="J3" s="128"/>
      <c r="K3" s="55" t="s">
        <v>15</v>
      </c>
      <c r="L3" s="18"/>
    </row>
    <row r="4" spans="1:25" ht="21" customHeight="1" thickBot="1" x14ac:dyDescent="0.3">
      <c r="A4" s="110" t="s">
        <v>37</v>
      </c>
      <c r="B4" s="111"/>
      <c r="C4" s="111"/>
      <c r="D4" s="112"/>
      <c r="E4" s="54">
        <v>8000</v>
      </c>
      <c r="F4" s="132"/>
      <c r="G4" s="110" t="s">
        <v>43</v>
      </c>
      <c r="H4" s="111"/>
      <c r="I4" s="111"/>
      <c r="J4" s="112"/>
      <c r="K4" s="56">
        <f>E4*12/E10</f>
        <v>6857.1428571428569</v>
      </c>
      <c r="L4" s="18"/>
    </row>
    <row r="5" spans="1:25" ht="20.100000000000001" customHeight="1" thickBot="1" x14ac:dyDescent="0.3">
      <c r="A5" s="133" t="s">
        <v>38</v>
      </c>
      <c r="B5" s="134"/>
      <c r="C5" s="134"/>
      <c r="D5" s="135"/>
      <c r="E5" s="23">
        <v>22</v>
      </c>
      <c r="F5" s="132"/>
      <c r="G5" s="133" t="s">
        <v>30</v>
      </c>
      <c r="H5" s="134"/>
      <c r="I5" s="134"/>
      <c r="J5" s="135"/>
      <c r="K5" s="52">
        <f>E14/E15</f>
        <v>21.655424074869799</v>
      </c>
      <c r="L5" s="18"/>
    </row>
    <row r="6" spans="1:25" ht="20.100000000000001" customHeight="1" thickBot="1" x14ac:dyDescent="0.3">
      <c r="A6" s="110" t="s">
        <v>39</v>
      </c>
      <c r="B6" s="111"/>
      <c r="C6" s="111"/>
      <c r="D6" s="112"/>
      <c r="E6" s="24">
        <v>50000</v>
      </c>
      <c r="F6" s="132"/>
      <c r="G6" s="110" t="s">
        <v>44</v>
      </c>
      <c r="H6" s="111"/>
      <c r="I6" s="111"/>
      <c r="J6" s="112"/>
      <c r="K6" s="73">
        <f>(((E9/E10+1)*E6)*E12)*(12/E9)</f>
        <v>56547.619047619039</v>
      </c>
      <c r="L6" s="18"/>
    </row>
    <row r="7" spans="1:25" ht="20.100000000000001" customHeight="1" thickBot="1" x14ac:dyDescent="0.3">
      <c r="A7" s="133" t="s">
        <v>40</v>
      </c>
      <c r="B7" s="134"/>
      <c r="C7" s="134"/>
      <c r="D7" s="135"/>
      <c r="E7" s="25">
        <v>153000</v>
      </c>
      <c r="F7" s="132"/>
      <c r="G7" s="133" t="s">
        <v>45</v>
      </c>
      <c r="H7" s="134"/>
      <c r="I7" s="134"/>
      <c r="J7" s="135"/>
      <c r="K7" s="71">
        <f>K4*E5</f>
        <v>150857.14285714284</v>
      </c>
      <c r="L7" s="18"/>
    </row>
    <row r="8" spans="1:25" ht="20.100000000000001" customHeight="1" thickBot="1" x14ac:dyDescent="0.3">
      <c r="A8" s="110" t="s">
        <v>27</v>
      </c>
      <c r="B8" s="111"/>
      <c r="C8" s="111"/>
      <c r="D8" s="112"/>
      <c r="E8" s="26">
        <v>0.4</v>
      </c>
      <c r="F8" s="132"/>
      <c r="G8" s="110" t="s">
        <v>68</v>
      </c>
      <c r="H8" s="111"/>
      <c r="I8" s="111"/>
      <c r="J8" s="112"/>
      <c r="K8" s="69">
        <f>(K6+K7)</f>
        <v>207404.76190476189</v>
      </c>
      <c r="L8" s="18"/>
    </row>
    <row r="9" spans="1:25" ht="20.100000000000001" customHeight="1" thickBot="1" x14ac:dyDescent="0.3">
      <c r="A9" s="133" t="s">
        <v>28</v>
      </c>
      <c r="B9" s="134"/>
      <c r="C9" s="134"/>
      <c r="D9" s="135"/>
      <c r="E9" s="27">
        <v>36</v>
      </c>
      <c r="F9" s="132"/>
      <c r="G9" s="133" t="s">
        <v>21</v>
      </c>
      <c r="H9" s="134"/>
      <c r="I9" s="134"/>
      <c r="J9" s="135"/>
      <c r="K9" s="72">
        <f>K8-E17</f>
        <v>58910.425391369005</v>
      </c>
      <c r="L9" s="18"/>
    </row>
    <row r="10" spans="1:25" ht="20.100000000000001" customHeight="1" thickBot="1" x14ac:dyDescent="0.3">
      <c r="A10" s="110" t="s">
        <v>41</v>
      </c>
      <c r="B10" s="111"/>
      <c r="C10" s="111"/>
      <c r="D10" s="112"/>
      <c r="E10" s="28">
        <v>14</v>
      </c>
      <c r="F10" s="132"/>
      <c r="G10" s="110" t="s">
        <v>22</v>
      </c>
      <c r="H10" s="111"/>
      <c r="I10" s="111"/>
      <c r="J10" s="112"/>
      <c r="K10" s="70">
        <f>K9/12</f>
        <v>4909.202115947417</v>
      </c>
      <c r="L10" s="18"/>
      <c r="O10" s="83"/>
      <c r="P10" s="83"/>
      <c r="Q10" s="83"/>
      <c r="R10" s="83"/>
      <c r="S10" s="83"/>
    </row>
    <row r="11" spans="1:25" ht="20.100000000000001" customHeight="1" thickBot="1" x14ac:dyDescent="0.3">
      <c r="A11" s="133" t="s">
        <v>29</v>
      </c>
      <c r="B11" s="134"/>
      <c r="C11" s="134"/>
      <c r="D11" s="135"/>
      <c r="E11" s="29">
        <v>0.02</v>
      </c>
      <c r="F11" s="132"/>
      <c r="G11" s="114" t="str">
        <f>E9&amp;"  Ay Boyunca Elde Edilecek Aylık Gelir Toplamının ("&amp;ROUND(K10*E9,2)&amp;"TL) Bugünkü Değeri"</f>
        <v>36  Ay Boyunca Elde Edilecek Aylık Gelir Toplamının (176731,28TL) Bugünkü Değeri</v>
      </c>
      <c r="H11" s="115"/>
      <c r="I11" s="115"/>
      <c r="J11" s="116"/>
      <c r="K11" s="91">
        <f>PV(E16,E9,-K10,0)</f>
        <v>102040.87967401107</v>
      </c>
      <c r="L11" s="18"/>
    </row>
    <row r="12" spans="1:25" ht="20.100000000000001" customHeight="1" thickBot="1" x14ac:dyDescent="0.3">
      <c r="A12" s="110" t="s">
        <v>42</v>
      </c>
      <c r="B12" s="111"/>
      <c r="C12" s="111"/>
      <c r="D12" s="112"/>
      <c r="E12" s="30">
        <v>0.95</v>
      </c>
      <c r="F12" s="132"/>
      <c r="G12" s="117"/>
      <c r="H12" s="118"/>
      <c r="I12" s="118"/>
      <c r="J12" s="119"/>
      <c r="K12" s="91"/>
      <c r="L12" s="18"/>
    </row>
    <row r="13" spans="1:25" ht="20.100000000000001" customHeight="1" thickBot="1" x14ac:dyDescent="0.3">
      <c r="A13" s="57" t="s">
        <v>19</v>
      </c>
      <c r="B13" s="58"/>
      <c r="C13" s="58"/>
      <c r="D13" s="58"/>
      <c r="E13" s="55" t="s">
        <v>15</v>
      </c>
      <c r="F13" s="132"/>
      <c r="G13" s="93" t="str">
        <f>E9&amp;" Ay Sonra Ele Geçmesi Beklenen "&amp;E7&amp;" TL'nin Bugünkü Değeri"</f>
        <v>36 Ay Sonra Ele Geçmesi Beklenen 153000 TL'nin Bugünkü Değeri</v>
      </c>
      <c r="H13" s="94"/>
      <c r="I13" s="94"/>
      <c r="J13" s="95"/>
      <c r="K13" s="113">
        <f>PV(E16,E9,0,-E7*(1-E11),0)</f>
        <v>46053.399985308337</v>
      </c>
      <c r="L13" s="18"/>
    </row>
    <row r="14" spans="1:25" ht="20.100000000000001" customHeight="1" thickBot="1" x14ac:dyDescent="0.35">
      <c r="A14" s="140" t="s">
        <v>32</v>
      </c>
      <c r="B14" s="141"/>
      <c r="C14" s="141"/>
      <c r="D14" s="141"/>
      <c r="E14" s="53">
        <f>HLOOKUP(E4,'Rasyon Maliyeti Hesaplama'!C2:K21,18,0)</f>
        <v>13.859471407916672</v>
      </c>
      <c r="F14" s="132"/>
      <c r="G14" s="96"/>
      <c r="H14" s="97"/>
      <c r="I14" s="97"/>
      <c r="J14" s="98"/>
      <c r="K14" s="113"/>
      <c r="L14" s="18"/>
    </row>
    <row r="15" spans="1:25" ht="20.100000000000001" customHeight="1" thickBot="1" x14ac:dyDescent="0.35">
      <c r="A15" s="136" t="s">
        <v>31</v>
      </c>
      <c r="B15" s="137"/>
      <c r="C15" s="137"/>
      <c r="D15" s="137"/>
      <c r="E15" s="68">
        <f>HLOOKUP(E4,'Rasyon Maliyeti Hesaplama'!C2:K21,19,0)</f>
        <v>0.64</v>
      </c>
      <c r="F15" s="132"/>
      <c r="G15" s="114" t="s">
        <v>79</v>
      </c>
      <c r="H15" s="115"/>
      <c r="I15" s="115"/>
      <c r="J15" s="116"/>
      <c r="K15" s="148">
        <f>K11+K13</f>
        <v>148094.27965931941</v>
      </c>
      <c r="L15" s="18"/>
    </row>
    <row r="16" spans="1:25" ht="20.100000000000001" customHeight="1" thickBot="1" x14ac:dyDescent="0.35">
      <c r="A16" s="138" t="s">
        <v>20</v>
      </c>
      <c r="B16" s="139"/>
      <c r="C16" s="139"/>
      <c r="D16" s="139"/>
      <c r="E16" s="67">
        <f>E8/12</f>
        <v>3.3333333333333333E-2</v>
      </c>
      <c r="F16" s="132"/>
      <c r="G16" s="142"/>
      <c r="H16" s="143"/>
      <c r="I16" s="143"/>
      <c r="J16" s="144"/>
      <c r="K16" s="148"/>
      <c r="L16" s="18"/>
    </row>
    <row r="17" spans="1:18" ht="20.100000000000001" customHeight="1" thickBot="1" x14ac:dyDescent="0.3">
      <c r="A17" s="150" t="str">
        <f>"Yıllık "&amp; ROUND(K4,1)&amp;" L Süt İçin Toplam Gider"</f>
        <v>Yıllık 6857,1 L Süt İçin Toplam Gider</v>
      </c>
      <c r="B17" s="151"/>
      <c r="C17" s="151"/>
      <c r="D17" s="152"/>
      <c r="E17" s="59">
        <f>K5*K4</f>
        <v>148494.33651339289</v>
      </c>
      <c r="F17" s="132"/>
      <c r="G17" s="145"/>
      <c r="H17" s="146"/>
      <c r="I17" s="146"/>
      <c r="J17" s="147"/>
      <c r="K17" s="149"/>
      <c r="L17" s="18"/>
    </row>
    <row r="18" spans="1:18" ht="15.75" customHeight="1" thickBot="1" x14ac:dyDescent="0.3">
      <c r="A18" s="18"/>
      <c r="B18" s="18"/>
      <c r="C18" s="18"/>
      <c r="D18" s="18"/>
      <c r="E18" s="18"/>
      <c r="F18" s="132"/>
      <c r="G18" s="18"/>
      <c r="H18" s="18"/>
      <c r="I18" s="18"/>
      <c r="J18" s="18"/>
      <c r="K18" s="18"/>
      <c r="L18" s="18"/>
    </row>
    <row r="19" spans="1:18" ht="17.100000000000001" customHeight="1" x14ac:dyDescent="0.25">
      <c r="A19" s="84" t="s">
        <v>76</v>
      </c>
      <c r="B19" s="85"/>
      <c r="C19" s="85"/>
      <c r="D19" s="85"/>
      <c r="E19" s="86"/>
      <c r="F19" s="132"/>
      <c r="G19" s="84" t="s">
        <v>77</v>
      </c>
      <c r="H19" s="85"/>
      <c r="I19" s="85"/>
      <c r="J19" s="85"/>
      <c r="K19" s="85"/>
      <c r="L19" s="61"/>
    </row>
    <row r="20" spans="1:18" ht="17.100000000000001" customHeight="1" x14ac:dyDescent="0.25">
      <c r="A20" s="87"/>
      <c r="B20" s="88"/>
      <c r="C20" s="88"/>
      <c r="D20" s="88"/>
      <c r="E20" s="89"/>
      <c r="F20" s="132"/>
      <c r="G20" s="87"/>
      <c r="H20" s="88"/>
      <c r="I20" s="88"/>
      <c r="J20" s="88"/>
      <c r="K20" s="88"/>
      <c r="L20" s="61"/>
    </row>
    <row r="21" spans="1:18" ht="15" customHeight="1" x14ac:dyDescent="0.25">
      <c r="A21" s="163" t="s">
        <v>63</v>
      </c>
      <c r="B21" s="164"/>
      <c r="C21" s="164"/>
      <c r="D21" s="164"/>
      <c r="E21" s="31">
        <v>7.0000000000000007E-2</v>
      </c>
      <c r="F21" s="132"/>
      <c r="G21" s="120" t="s">
        <v>2</v>
      </c>
      <c r="H21" s="121"/>
      <c r="I21" s="121"/>
      <c r="J21" s="121"/>
      <c r="K21" s="62">
        <v>7.0000000000000007E-2</v>
      </c>
      <c r="L21" s="61"/>
    </row>
    <row r="22" spans="1:18" ht="15.75" customHeight="1" x14ac:dyDescent="0.25">
      <c r="A22" s="99" t="s">
        <v>64</v>
      </c>
      <c r="B22" s="100"/>
      <c r="C22" s="101"/>
      <c r="D22" s="102"/>
      <c r="E22" s="32">
        <v>7.0000000000000007E-2</v>
      </c>
      <c r="F22" s="132"/>
      <c r="G22" s="99" t="s">
        <v>65</v>
      </c>
      <c r="H22" s="100"/>
      <c r="I22" s="101"/>
      <c r="J22" s="102"/>
      <c r="K22" s="63">
        <v>750</v>
      </c>
      <c r="L22" s="61"/>
      <c r="N22" s="81"/>
      <c r="O22" s="81"/>
      <c r="P22" s="81"/>
      <c r="Q22" s="81"/>
      <c r="R22" s="81"/>
    </row>
    <row r="23" spans="1:18" ht="17.100000000000001" customHeight="1" x14ac:dyDescent="0.3">
      <c r="A23" s="103"/>
      <c r="B23" s="104"/>
      <c r="C23" s="153" t="s">
        <v>0</v>
      </c>
      <c r="D23" s="153"/>
      <c r="E23" s="154"/>
      <c r="F23" s="132"/>
      <c r="G23" s="103"/>
      <c r="H23" s="104"/>
      <c r="I23" s="107" t="s">
        <v>23</v>
      </c>
      <c r="J23" s="108"/>
      <c r="K23" s="109"/>
      <c r="L23" s="61"/>
      <c r="N23" s="81"/>
      <c r="O23" s="90"/>
      <c r="P23" s="90"/>
    </row>
    <row r="24" spans="1:18" ht="17.100000000000001" customHeight="1" x14ac:dyDescent="0.25">
      <c r="A24" s="105"/>
      <c r="B24" s="106"/>
      <c r="C24" s="13">
        <f>D24-E21</f>
        <v>-7.0000000000000007E-2</v>
      </c>
      <c r="D24" s="13">
        <v>0</v>
      </c>
      <c r="E24" s="33">
        <f>D24+E21</f>
        <v>7.0000000000000007E-2</v>
      </c>
      <c r="F24" s="132"/>
      <c r="G24" s="105"/>
      <c r="H24" s="106"/>
      <c r="I24" s="15">
        <f>J24*(1-K21)</f>
        <v>20.459999999999997</v>
      </c>
      <c r="J24" s="15">
        <f>E5</f>
        <v>22</v>
      </c>
      <c r="K24" s="64">
        <f>J24*(1+K21)</f>
        <v>23.540000000000003</v>
      </c>
      <c r="L24" s="61"/>
      <c r="O24" s="90"/>
      <c r="P24" s="90"/>
    </row>
    <row r="25" spans="1:18" ht="17.100000000000001" customHeight="1" x14ac:dyDescent="0.25">
      <c r="A25" s="162" t="s">
        <v>1</v>
      </c>
      <c r="B25" s="13">
        <f>B26-E22</f>
        <v>-7.0000000000000007E-2</v>
      </c>
      <c r="C25" s="14">
        <f t="shared" ref="C25:E27" si="0">PV($E$16,$E$9,-(($K$8*(1+C$24)-$E$17*(1+$B25))/12),0)+PV($E$16,$E$9,0,-$E$7*(1-$E$11)*(1+C$24),0)</f>
        <v>137727.68008316704</v>
      </c>
      <c r="D25" s="14">
        <f t="shared" si="0"/>
        <v>166099.14863902747</v>
      </c>
      <c r="E25" s="34">
        <f t="shared" si="0"/>
        <v>194470.61719488789</v>
      </c>
      <c r="F25" s="132"/>
      <c r="G25" s="92" t="s">
        <v>16</v>
      </c>
      <c r="H25" s="16">
        <f>H26-K22</f>
        <v>6107.1428571428569</v>
      </c>
      <c r="I25" s="14">
        <f t="shared" ref="I25:K27" si="1">PV($E$16,$E$9,-($K$6+$H25*I$24-$H25*$K$5)/12,0)+PV($E$16,$E$9,0,-$E$7*(1-$E$11),0)</f>
        <v>131355.89948858949</v>
      </c>
      <c r="J25" s="14">
        <f t="shared" si="1"/>
        <v>147646.64033723189</v>
      </c>
      <c r="K25" s="65">
        <f t="shared" si="1"/>
        <v>163937.38118587428</v>
      </c>
      <c r="L25" s="61"/>
      <c r="O25" s="90"/>
      <c r="P25" s="90"/>
    </row>
    <row r="26" spans="1:18" ht="17.100000000000001" customHeight="1" x14ac:dyDescent="0.3">
      <c r="A26" s="162"/>
      <c r="B26" s="13">
        <v>0</v>
      </c>
      <c r="C26" s="14">
        <f t="shared" si="0"/>
        <v>119722.81110345897</v>
      </c>
      <c r="D26" s="35">
        <f>PV($E$16,$E$9,-(($K$8*(1+D$24)-$E$17*(1+$B26))/12),0)+PV($E$16,$E$9,0,-$E$7*(1-$E$11)*(1+D$24),0)</f>
        <v>148094.27965931941</v>
      </c>
      <c r="E26" s="34">
        <f t="shared" si="0"/>
        <v>176465.74821517986</v>
      </c>
      <c r="F26" s="132"/>
      <c r="G26" s="92"/>
      <c r="H26" s="16">
        <f>K4</f>
        <v>6857.1428571428569</v>
      </c>
      <c r="I26" s="14">
        <f t="shared" si="1"/>
        <v>129802.92151347533</v>
      </c>
      <c r="J26" s="35">
        <f>PV($E$16,$E$9,-($K$6+$H26*J$24-$H26*$K$5)/12,0)+PV($E$16,$E$9,0,-$E$7*(1-$E$11),0)</f>
        <v>148094.27965931941</v>
      </c>
      <c r="K26" s="65">
        <f t="shared" si="1"/>
        <v>166385.63780516348</v>
      </c>
      <c r="L26" s="61"/>
    </row>
    <row r="27" spans="1:18" ht="17.100000000000001" customHeight="1" thickBot="1" x14ac:dyDescent="0.3">
      <c r="A27" s="162"/>
      <c r="B27" s="74">
        <f>B26+E22</f>
        <v>7.0000000000000007E-2</v>
      </c>
      <c r="C27" s="75">
        <f t="shared" si="0"/>
        <v>101717.94212375089</v>
      </c>
      <c r="D27" s="75">
        <f t="shared" si="0"/>
        <v>130089.41067961135</v>
      </c>
      <c r="E27" s="76">
        <f t="shared" si="0"/>
        <v>158460.8792354718</v>
      </c>
      <c r="F27" s="132"/>
      <c r="G27" s="92"/>
      <c r="H27" s="77">
        <f>H26+K22</f>
        <v>7607.1428571428569</v>
      </c>
      <c r="I27" s="75">
        <f t="shared" si="1"/>
        <v>128249.9435383611</v>
      </c>
      <c r="J27" s="75">
        <f t="shared" si="1"/>
        <v>148541.91898140684</v>
      </c>
      <c r="K27" s="78">
        <f t="shared" si="1"/>
        <v>168833.89442445262</v>
      </c>
      <c r="L27" s="61"/>
    </row>
    <row r="28" spans="1:18" ht="17.100000000000001" customHeight="1" x14ac:dyDescent="0.25">
      <c r="A28" s="129" t="s">
        <v>46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1"/>
      <c r="L28" s="18"/>
    </row>
    <row r="29" spans="1:18" ht="17.100000000000001" customHeight="1" thickBot="1" x14ac:dyDescent="0.35">
      <c r="A29" s="155" t="s">
        <v>67</v>
      </c>
      <c r="B29" s="156"/>
      <c r="C29" s="157">
        <f>MIN(C25:E27,I25:K27)</f>
        <v>101717.94212375089</v>
      </c>
      <c r="D29" s="157"/>
      <c r="E29" s="158" t="s">
        <v>17</v>
      </c>
      <c r="F29" s="158"/>
      <c r="G29" s="159">
        <f>D26</f>
        <v>148094.27965931941</v>
      </c>
      <c r="H29" s="159"/>
      <c r="I29" s="79" t="s">
        <v>18</v>
      </c>
      <c r="J29" s="160">
        <f>MAX(C25:E27,I25:K27)</f>
        <v>194470.61719488789</v>
      </c>
      <c r="K29" s="161"/>
      <c r="L29" s="18"/>
    </row>
    <row r="30" spans="1:18" ht="25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60"/>
      <c r="L30" s="61"/>
    </row>
    <row r="31" spans="1:18" ht="31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60"/>
      <c r="L31" s="61"/>
    </row>
    <row r="32" spans="1: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60"/>
      <c r="L32" s="61"/>
    </row>
    <row r="33" spans="1:12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60"/>
      <c r="L33" s="61"/>
    </row>
    <row r="34" spans="1:12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60"/>
      <c r="L34" s="61"/>
    </row>
    <row r="35" spans="1:12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60"/>
      <c r="L35" s="61"/>
    </row>
    <row r="36" spans="1:12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60"/>
      <c r="L36" s="61"/>
    </row>
    <row r="37" spans="1:12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60"/>
      <c r="L37" s="61"/>
    </row>
    <row r="38" spans="1:12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60"/>
      <c r="L38" s="61"/>
    </row>
    <row r="39" spans="1:12" ht="1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60"/>
      <c r="L39" s="61"/>
    </row>
    <row r="40" spans="1:12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60"/>
      <c r="L40" s="61"/>
    </row>
    <row r="41" spans="1:12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60"/>
      <c r="L41" s="61"/>
    </row>
    <row r="42" spans="1:12" ht="16.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61"/>
      <c r="L42" s="61"/>
    </row>
    <row r="43" spans="1:12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60"/>
      <c r="L43" s="61"/>
    </row>
    <row r="44" spans="1:12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60"/>
      <c r="L44" s="61"/>
    </row>
    <row r="45" spans="1:12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60"/>
      <c r="L45" s="61"/>
    </row>
    <row r="46" spans="1:12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60"/>
      <c r="L46" s="61"/>
    </row>
    <row r="47" spans="1:12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60"/>
      <c r="L47" s="61"/>
    </row>
    <row r="48" spans="1:12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60"/>
      <c r="L48" s="61"/>
    </row>
    <row r="49" spans="1:12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60"/>
      <c r="L49" s="61"/>
    </row>
    <row r="50" spans="1:12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60"/>
      <c r="L50" s="61"/>
    </row>
    <row r="51" spans="1:12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18"/>
    </row>
  </sheetData>
  <sheetProtection algorithmName="SHA-512" hashValue="B3+FehsPY4CLRu2Wuq7M2LHzuaCUkR895scEp0Im2IqNSGX40gUo6cRVfNnZx+AeslO8BYYa+UP+ECTf3fv/6g==" saltValue="lgKblO2FNqdVBR5vipzkGg==" spinCount="100000" sheet="1" objects="1" scenarios="1"/>
  <mergeCells count="50">
    <mergeCell ref="A4:D4"/>
    <mergeCell ref="A5:D5"/>
    <mergeCell ref="A6:D6"/>
    <mergeCell ref="A7:D7"/>
    <mergeCell ref="A8:D8"/>
    <mergeCell ref="G8:J8"/>
    <mergeCell ref="A17:D17"/>
    <mergeCell ref="C23:E23"/>
    <mergeCell ref="A29:B29"/>
    <mergeCell ref="C29:D29"/>
    <mergeCell ref="E29:F29"/>
    <mergeCell ref="G29:H29"/>
    <mergeCell ref="J29:K29"/>
    <mergeCell ref="A9:D9"/>
    <mergeCell ref="A10:D10"/>
    <mergeCell ref="A11:D11"/>
    <mergeCell ref="A12:D12"/>
    <mergeCell ref="A25:A27"/>
    <mergeCell ref="A21:D21"/>
    <mergeCell ref="A22:D22"/>
    <mergeCell ref="A23:B24"/>
    <mergeCell ref="A1:I2"/>
    <mergeCell ref="J1:K2"/>
    <mergeCell ref="A3:D3"/>
    <mergeCell ref="A28:K28"/>
    <mergeCell ref="F3:F27"/>
    <mergeCell ref="G9:J9"/>
    <mergeCell ref="A15:D15"/>
    <mergeCell ref="A16:D16"/>
    <mergeCell ref="A14:D14"/>
    <mergeCell ref="G15:J17"/>
    <mergeCell ref="K15:K17"/>
    <mergeCell ref="G3:J3"/>
    <mergeCell ref="G4:J4"/>
    <mergeCell ref="G5:J5"/>
    <mergeCell ref="G6:J6"/>
    <mergeCell ref="G7:J7"/>
    <mergeCell ref="G10:J10"/>
    <mergeCell ref="K13:K14"/>
    <mergeCell ref="G19:K20"/>
    <mergeCell ref="G11:J12"/>
    <mergeCell ref="G21:J21"/>
    <mergeCell ref="A19:E20"/>
    <mergeCell ref="O23:P25"/>
    <mergeCell ref="K11:K12"/>
    <mergeCell ref="G25:G27"/>
    <mergeCell ref="G13:J14"/>
    <mergeCell ref="G22:J22"/>
    <mergeCell ref="G23:H24"/>
    <mergeCell ref="I23:K2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968F6B-4F79-4700-A27C-8C9CA13B5021}">
          <x14:formula1>
            <xm:f>'Rasyon Maliyeti Hesaplama'!$C$2:$L$2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/>
  <dimension ref="A1:P22"/>
  <sheetViews>
    <sheetView zoomScale="85" zoomScaleNormal="85" workbookViewId="0">
      <selection activeCell="B9" sqref="B9"/>
    </sheetView>
  </sheetViews>
  <sheetFormatPr defaultColWidth="9.109375" defaultRowHeight="13.2" x14ac:dyDescent="0.25"/>
  <cols>
    <col min="1" max="1" width="29.6640625" style="21" customWidth="1"/>
    <col min="2" max="2" width="16.6640625" style="21" customWidth="1"/>
    <col min="3" max="3" width="11.44140625" style="21" customWidth="1"/>
    <col min="4" max="4" width="10" style="21" customWidth="1"/>
    <col min="5" max="5" width="10.5546875" style="21" customWidth="1"/>
    <col min="6" max="6" width="11" style="21" customWidth="1"/>
    <col min="7" max="7" width="10.6640625" style="21" customWidth="1"/>
    <col min="8" max="8" width="11" style="21" customWidth="1"/>
    <col min="9" max="9" width="10.5546875" style="21" customWidth="1"/>
    <col min="10" max="10" width="9.6640625" style="21" customWidth="1"/>
    <col min="11" max="11" width="10.5546875" style="21" customWidth="1"/>
    <col min="12" max="12" width="11" style="21" customWidth="1"/>
    <col min="13" max="13" width="2.109375" style="19" customWidth="1"/>
    <col min="14" max="14" width="5.88671875" style="19" customWidth="1"/>
    <col min="15" max="16384" width="9.109375" style="19"/>
  </cols>
  <sheetData>
    <row r="1" spans="1:16" ht="23.25" customHeight="1" thickBot="1" x14ac:dyDescent="0.3">
      <c r="A1" s="193" t="s">
        <v>36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  <c r="M1" s="17"/>
      <c r="N1" s="192" t="s">
        <v>66</v>
      </c>
    </row>
    <row r="2" spans="1:16" s="37" customFormat="1" ht="23.25" customHeight="1" x14ac:dyDescent="0.25">
      <c r="A2" s="179" t="s">
        <v>24</v>
      </c>
      <c r="B2" s="180"/>
      <c r="C2" s="196">
        <v>4000</v>
      </c>
      <c r="D2" s="197"/>
      <c r="E2" s="196">
        <v>5000</v>
      </c>
      <c r="F2" s="197"/>
      <c r="G2" s="196">
        <v>6000</v>
      </c>
      <c r="H2" s="197"/>
      <c r="I2" s="196">
        <v>7000</v>
      </c>
      <c r="J2" s="197"/>
      <c r="K2" s="196">
        <v>8000</v>
      </c>
      <c r="L2" s="197"/>
      <c r="M2" s="36"/>
      <c r="N2" s="192"/>
    </row>
    <row r="3" spans="1:16" s="37" customFormat="1" ht="23.25" customHeight="1" x14ac:dyDescent="0.25">
      <c r="A3" s="198" t="s">
        <v>35</v>
      </c>
      <c r="B3" s="199"/>
      <c r="C3" s="185">
        <f>C2/305</f>
        <v>13.114754098360656</v>
      </c>
      <c r="D3" s="186"/>
      <c r="E3" s="185">
        <f t="shared" ref="E3" si="0">E2/305</f>
        <v>16.393442622950818</v>
      </c>
      <c r="F3" s="186"/>
      <c r="G3" s="185">
        <f t="shared" ref="G3" si="1">G2/305</f>
        <v>19.672131147540984</v>
      </c>
      <c r="H3" s="186"/>
      <c r="I3" s="185">
        <f t="shared" ref="I3" si="2">I2/305</f>
        <v>22.950819672131146</v>
      </c>
      <c r="J3" s="186"/>
      <c r="K3" s="185">
        <f t="shared" ref="K3" si="3">K2/305</f>
        <v>26.229508196721312</v>
      </c>
      <c r="L3" s="186"/>
      <c r="M3" s="36"/>
      <c r="N3" s="192"/>
    </row>
    <row r="4" spans="1:16" s="37" customFormat="1" ht="23.25" customHeight="1" x14ac:dyDescent="0.25">
      <c r="A4" s="191" t="s">
        <v>34</v>
      </c>
      <c r="B4" s="191"/>
      <c r="C4" s="183">
        <f>C2*(12/'Düve Fiyat Hesaplama'!$E$10)</f>
        <v>3428.5714285714284</v>
      </c>
      <c r="D4" s="184"/>
      <c r="E4" s="183">
        <f>E2*(12/'Düve Fiyat Hesaplama'!$E$10)</f>
        <v>4285.7142857142853</v>
      </c>
      <c r="F4" s="184"/>
      <c r="G4" s="183">
        <f>G2*(12/'Düve Fiyat Hesaplama'!$E$10)</f>
        <v>5142.8571428571422</v>
      </c>
      <c r="H4" s="184"/>
      <c r="I4" s="183">
        <f>I2*(12/'Düve Fiyat Hesaplama'!$E$10)</f>
        <v>6000</v>
      </c>
      <c r="J4" s="184"/>
      <c r="K4" s="183">
        <f>K2*(12/'Düve Fiyat Hesaplama'!$E$10)</f>
        <v>6857.1428571428569</v>
      </c>
      <c r="L4" s="184"/>
      <c r="M4" s="36"/>
      <c r="N4" s="192"/>
    </row>
    <row r="5" spans="1:16" s="37" customFormat="1" ht="23.25" customHeight="1" x14ac:dyDescent="0.25">
      <c r="A5" s="179" t="s">
        <v>47</v>
      </c>
      <c r="B5" s="180"/>
      <c r="C5" s="185">
        <f>C2/(('Düve Fiyat Hesaplama'!$E$10-2)*30.42)</f>
        <v>10.957703265395573</v>
      </c>
      <c r="D5" s="186"/>
      <c r="E5" s="185">
        <f>E2/(('Düve Fiyat Hesaplama'!$E$10-2)*30.42)</f>
        <v>13.697129081744466</v>
      </c>
      <c r="F5" s="186"/>
      <c r="G5" s="185">
        <f>G2/(('Düve Fiyat Hesaplama'!$E$10-2)*30.42)</f>
        <v>16.436554898093359</v>
      </c>
      <c r="H5" s="186"/>
      <c r="I5" s="185">
        <f>I2/(('Düve Fiyat Hesaplama'!$E$10-2)*30.42)</f>
        <v>19.17598071444225</v>
      </c>
      <c r="J5" s="186"/>
      <c r="K5" s="185">
        <f>K2/(('Düve Fiyat Hesaplama'!$E$10-2)*30.42)</f>
        <v>21.915406530791145</v>
      </c>
      <c r="L5" s="186"/>
      <c r="M5" s="36"/>
      <c r="N5" s="192"/>
    </row>
    <row r="6" spans="1:16" s="37" customFormat="1" ht="17.25" customHeight="1" x14ac:dyDescent="0.25">
      <c r="A6" s="38" t="s">
        <v>10</v>
      </c>
      <c r="B6" s="49" t="s">
        <v>11</v>
      </c>
      <c r="C6" s="50" t="s">
        <v>3</v>
      </c>
      <c r="D6" s="51" t="s">
        <v>4</v>
      </c>
      <c r="E6" s="50" t="s">
        <v>3</v>
      </c>
      <c r="F6" s="51" t="s">
        <v>4</v>
      </c>
      <c r="G6" s="50" t="s">
        <v>3</v>
      </c>
      <c r="H6" s="51" t="s">
        <v>4</v>
      </c>
      <c r="I6" s="50" t="s">
        <v>3</v>
      </c>
      <c r="J6" s="51" t="s">
        <v>4</v>
      </c>
      <c r="K6" s="50" t="s">
        <v>3</v>
      </c>
      <c r="L6" s="51" t="s">
        <v>4</v>
      </c>
      <c r="M6" s="36"/>
      <c r="N6" s="192"/>
    </row>
    <row r="7" spans="1:16" s="37" customFormat="1" ht="17.25" customHeight="1" x14ac:dyDescent="0.25">
      <c r="A7" s="39" t="s">
        <v>5</v>
      </c>
      <c r="B7" s="40">
        <v>4.2</v>
      </c>
      <c r="C7" s="41">
        <v>18</v>
      </c>
      <c r="D7" s="42">
        <v>12</v>
      </c>
      <c r="E7" s="41">
        <v>18</v>
      </c>
      <c r="F7" s="42">
        <v>12</v>
      </c>
      <c r="G7" s="41">
        <v>18</v>
      </c>
      <c r="H7" s="42">
        <v>12</v>
      </c>
      <c r="I7" s="41">
        <v>18</v>
      </c>
      <c r="J7" s="42">
        <v>12</v>
      </c>
      <c r="K7" s="41">
        <v>22</v>
      </c>
      <c r="L7" s="42">
        <v>12</v>
      </c>
      <c r="M7" s="36"/>
      <c r="N7" s="192"/>
    </row>
    <row r="8" spans="1:16" s="37" customFormat="1" ht="17.25" customHeight="1" x14ac:dyDescent="0.25">
      <c r="A8" s="39" t="s">
        <v>6</v>
      </c>
      <c r="B8" s="43">
        <v>4</v>
      </c>
      <c r="C8" s="44">
        <v>3</v>
      </c>
      <c r="D8" s="45">
        <v>3</v>
      </c>
      <c r="E8" s="44">
        <v>2.5</v>
      </c>
      <c r="F8" s="45">
        <v>3</v>
      </c>
      <c r="G8" s="44">
        <v>2.5</v>
      </c>
      <c r="H8" s="45">
        <v>3</v>
      </c>
      <c r="I8" s="44">
        <v>2.5</v>
      </c>
      <c r="J8" s="45">
        <v>3</v>
      </c>
      <c r="K8" s="44">
        <v>2</v>
      </c>
      <c r="L8" s="45">
        <v>3</v>
      </c>
      <c r="M8" s="36"/>
      <c r="N8" s="192"/>
    </row>
    <row r="9" spans="1:16" s="37" customFormat="1" ht="17.25" customHeight="1" x14ac:dyDescent="0.25">
      <c r="A9" s="39" t="s">
        <v>7</v>
      </c>
      <c r="B9" s="40">
        <v>14</v>
      </c>
      <c r="C9" s="41">
        <v>2.5</v>
      </c>
      <c r="D9" s="42">
        <v>1</v>
      </c>
      <c r="E9" s="41">
        <v>2.5</v>
      </c>
      <c r="F9" s="42">
        <v>1</v>
      </c>
      <c r="G9" s="41">
        <v>3</v>
      </c>
      <c r="H9" s="42">
        <v>1</v>
      </c>
      <c r="I9" s="41">
        <v>3</v>
      </c>
      <c r="J9" s="42">
        <v>1</v>
      </c>
      <c r="K9" s="41">
        <v>3.5</v>
      </c>
      <c r="L9" s="42">
        <v>1</v>
      </c>
      <c r="M9" s="36"/>
      <c r="N9" s="192"/>
      <c r="P9" s="46"/>
    </row>
    <row r="10" spans="1:16" s="37" customFormat="1" ht="17.25" customHeight="1" x14ac:dyDescent="0.25">
      <c r="A10" s="39" t="s">
        <v>8</v>
      </c>
      <c r="B10" s="43">
        <v>15.5</v>
      </c>
      <c r="C10" s="44">
        <v>4.5</v>
      </c>
      <c r="D10" s="45">
        <v>3.5</v>
      </c>
      <c r="E10" s="44">
        <v>6.5</v>
      </c>
      <c r="F10" s="45">
        <v>4</v>
      </c>
      <c r="G10" s="44">
        <v>7.5</v>
      </c>
      <c r="H10" s="45">
        <v>4</v>
      </c>
      <c r="I10" s="44">
        <v>9</v>
      </c>
      <c r="J10" s="45">
        <v>4</v>
      </c>
      <c r="K10" s="44">
        <v>9.5</v>
      </c>
      <c r="L10" s="45">
        <v>4</v>
      </c>
      <c r="M10" s="36"/>
      <c r="N10" s="192"/>
    </row>
    <row r="11" spans="1:16" s="37" customFormat="1" ht="17.25" customHeight="1" x14ac:dyDescent="0.25">
      <c r="A11" s="39" t="s">
        <v>9</v>
      </c>
      <c r="B11" s="40">
        <v>27</v>
      </c>
      <c r="C11" s="41"/>
      <c r="D11" s="42"/>
      <c r="E11" s="41"/>
      <c r="F11" s="42"/>
      <c r="G11" s="41"/>
      <c r="H11" s="42"/>
      <c r="I11" s="41"/>
      <c r="J11" s="42"/>
      <c r="K11" s="41">
        <v>0.4</v>
      </c>
      <c r="L11" s="42">
        <v>0</v>
      </c>
      <c r="M11" s="36"/>
      <c r="N11" s="192"/>
    </row>
    <row r="12" spans="1:16" s="37" customFormat="1" ht="17.25" customHeight="1" x14ac:dyDescent="0.25">
      <c r="A12" s="39"/>
      <c r="B12" s="43"/>
      <c r="C12" s="44"/>
      <c r="D12" s="45"/>
      <c r="E12" s="44"/>
      <c r="F12" s="45"/>
      <c r="G12" s="44"/>
      <c r="H12" s="45"/>
      <c r="I12" s="44"/>
      <c r="J12" s="45"/>
      <c r="K12" s="44"/>
      <c r="L12" s="45"/>
      <c r="M12" s="36"/>
      <c r="N12" s="192"/>
    </row>
    <row r="13" spans="1:16" s="37" customFormat="1" ht="17.25" customHeight="1" x14ac:dyDescent="0.25">
      <c r="A13" s="39"/>
      <c r="B13" s="40"/>
      <c r="C13" s="41"/>
      <c r="D13" s="42"/>
      <c r="E13" s="41"/>
      <c r="F13" s="42"/>
      <c r="G13" s="41"/>
      <c r="H13" s="42"/>
      <c r="I13" s="41"/>
      <c r="J13" s="42"/>
      <c r="K13" s="41"/>
      <c r="L13" s="42"/>
      <c r="M13" s="36"/>
      <c r="N13" s="192"/>
    </row>
    <row r="14" spans="1:16" s="37" customFormat="1" ht="17.25" customHeight="1" x14ac:dyDescent="0.25">
      <c r="A14" s="39"/>
      <c r="B14" s="43"/>
      <c r="C14" s="44"/>
      <c r="D14" s="45"/>
      <c r="E14" s="44"/>
      <c r="F14" s="45"/>
      <c r="G14" s="44"/>
      <c r="H14" s="45"/>
      <c r="I14" s="44"/>
      <c r="J14" s="45"/>
      <c r="K14" s="44"/>
      <c r="L14" s="45"/>
      <c r="M14" s="36"/>
      <c r="N14" s="192"/>
    </row>
    <row r="15" spans="1:16" s="37" customFormat="1" ht="17.25" customHeight="1" x14ac:dyDescent="0.25">
      <c r="A15" s="39"/>
      <c r="B15" s="40"/>
      <c r="C15" s="41"/>
      <c r="D15" s="42"/>
      <c r="E15" s="41"/>
      <c r="F15" s="42"/>
      <c r="G15" s="41"/>
      <c r="H15" s="42"/>
      <c r="I15" s="41"/>
      <c r="J15" s="42"/>
      <c r="K15" s="41"/>
      <c r="L15" s="42"/>
      <c r="M15" s="36"/>
      <c r="N15" s="192"/>
    </row>
    <row r="16" spans="1:16" s="37" customFormat="1" ht="17.25" customHeight="1" x14ac:dyDescent="0.25">
      <c r="A16" s="181" t="s">
        <v>33</v>
      </c>
      <c r="B16" s="182"/>
      <c r="C16" s="47">
        <f>SUMPRODUCT($B6:$B15,C6:C15)-(C3-C5)*$B$10/2.5</f>
        <v>178.9762848356165</v>
      </c>
      <c r="D16" s="48">
        <f>SUMPRODUCT($B6:$B15,D6:D15)</f>
        <v>130.65</v>
      </c>
      <c r="E16" s="47">
        <f t="shared" ref="E16" si="4">SUMPRODUCT($B6:$B15,E6:E15)-(E3-E5)*$B$10/2.5</f>
        <v>204.63285604452062</v>
      </c>
      <c r="F16" s="48">
        <f t="shared" ref="F16" si="5">SUMPRODUCT($B6:$B15,F6:F15)</f>
        <v>138.4</v>
      </c>
      <c r="G16" s="47">
        <f t="shared" ref="G16" si="6">SUMPRODUCT($B6:$B15,G6:G15)-(G3-G5)*$B$10/2.5</f>
        <v>223.78942725342475</v>
      </c>
      <c r="H16" s="48">
        <f t="shared" ref="H16" si="7">SUMPRODUCT($B6:$B15,H6:H15)</f>
        <v>138.4</v>
      </c>
      <c r="I16" s="47">
        <f t="shared" ref="I16" si="8">SUMPRODUCT($B6:$B15,I6:I15)-(I3-I5)*$B$10/2.5</f>
        <v>243.69599846232887</v>
      </c>
      <c r="J16" s="48">
        <f t="shared" ref="J16" si="9">SUMPRODUCT($B6:$B15,J6:J15)</f>
        <v>138.4</v>
      </c>
      <c r="K16" s="47">
        <f t="shared" ref="K16" si="10">SUMPRODUCT($B6:$B15,K6:K15)-(K3-K5)*$B$10/2.5</f>
        <v>280.70256967123294</v>
      </c>
      <c r="L16" s="48">
        <f t="shared" ref="L16" si="11">SUMPRODUCT($B6:$B15,L6:L15)</f>
        <v>138.4</v>
      </c>
      <c r="M16" s="36"/>
      <c r="N16" s="192"/>
    </row>
    <row r="17" spans="1:14" s="37" customFormat="1" ht="17.25" customHeight="1" thickBot="1" x14ac:dyDescent="0.3">
      <c r="A17" s="181" t="s">
        <v>48</v>
      </c>
      <c r="B17" s="182"/>
      <c r="C17" s="189">
        <f>(C16*('Düve Fiyat Hesaplama'!$E$10-2)+D16*2)*365/('Düve Fiyat Hesaplama'!$E$10)</f>
        <v>62806.473398571448</v>
      </c>
      <c r="D17" s="190"/>
      <c r="E17" s="177">
        <f>(E16*('Düve Fiyat Hesaplama'!$E$10-2)+F16*2)*365/('Düve Fiyat Hesaplama'!$E$10)</f>
        <v>71237.422105357167</v>
      </c>
      <c r="F17" s="178"/>
      <c r="G17" s="177">
        <f>(G16*('Düve Fiyat Hesaplama'!$E$10-2)+H16*2)*365/('Düve Fiyat Hesaplama'!$E$10)</f>
        <v>77230.692240714328</v>
      </c>
      <c r="H17" s="178"/>
      <c r="I17" s="177">
        <f>(I16*('Düve Fiyat Hesaplama'!$E$10-2)+J16*2)*365/('Düve Fiyat Hesaplama'!$E$10)</f>
        <v>83458.60523321433</v>
      </c>
      <c r="J17" s="178"/>
      <c r="K17" s="177">
        <f>(K16*('Düve Fiyat Hesaplama'!$E$10-2)+L16*2)*365/('Düve Fiyat Hesaplama'!$E$10)</f>
        <v>95036.375368571462</v>
      </c>
      <c r="L17" s="178"/>
      <c r="M17" s="36"/>
      <c r="N17" s="192"/>
    </row>
    <row r="18" spans="1:14" s="37" customFormat="1" ht="17.2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6"/>
      <c r="N18" s="192"/>
    </row>
    <row r="19" spans="1:14" s="37" customFormat="1" ht="17.25" customHeight="1" thickBot="1" x14ac:dyDescent="0.3">
      <c r="A19" s="167" t="s">
        <v>25</v>
      </c>
      <c r="B19" s="168"/>
      <c r="C19" s="171">
        <f>C17/C4</f>
        <v>18.318554741250008</v>
      </c>
      <c r="D19" s="172"/>
      <c r="E19" s="171">
        <f t="shared" ref="E19" si="12">E17/E4</f>
        <v>16.622065157916673</v>
      </c>
      <c r="F19" s="172"/>
      <c r="G19" s="171">
        <f t="shared" ref="G19" si="13">G17/G4</f>
        <v>15.017079046805566</v>
      </c>
      <c r="H19" s="172"/>
      <c r="I19" s="171">
        <f t="shared" ref="I19" si="14">I17/I4</f>
        <v>13.909767538869055</v>
      </c>
      <c r="J19" s="172"/>
      <c r="K19" s="171">
        <f t="shared" ref="K19" si="15">K17/K4</f>
        <v>13.859471407916672</v>
      </c>
      <c r="L19" s="172"/>
      <c r="M19" s="36"/>
      <c r="N19" s="192"/>
    </row>
    <row r="20" spans="1:14" s="37" customFormat="1" ht="17.25" customHeight="1" thickBot="1" x14ac:dyDescent="0.3">
      <c r="A20" s="175" t="s">
        <v>12</v>
      </c>
      <c r="B20" s="176"/>
      <c r="C20" s="187">
        <v>0.7</v>
      </c>
      <c r="D20" s="174"/>
      <c r="E20" s="173">
        <v>0.68</v>
      </c>
      <c r="F20" s="174"/>
      <c r="G20" s="173">
        <v>0.66</v>
      </c>
      <c r="H20" s="174"/>
      <c r="I20" s="173">
        <v>0.65</v>
      </c>
      <c r="J20" s="174"/>
      <c r="K20" s="173">
        <v>0.64</v>
      </c>
      <c r="L20" s="188"/>
      <c r="M20" s="36"/>
      <c r="N20" s="192"/>
    </row>
    <row r="21" spans="1:14" s="37" customFormat="1" ht="23.25" customHeight="1" x14ac:dyDescent="0.25">
      <c r="A21" s="169" t="s">
        <v>26</v>
      </c>
      <c r="B21" s="170"/>
      <c r="C21" s="165">
        <f>C19/C20</f>
        <v>26.16936391607144</v>
      </c>
      <c r="D21" s="166"/>
      <c r="E21" s="165">
        <f>E19/E20</f>
        <v>24.444213467524516</v>
      </c>
      <c r="F21" s="166"/>
      <c r="G21" s="165">
        <f>G19/G20</f>
        <v>22.753150070917524</v>
      </c>
      <c r="H21" s="166"/>
      <c r="I21" s="165">
        <f>I19/I20</f>
        <v>21.399642367490852</v>
      </c>
      <c r="J21" s="166"/>
      <c r="K21" s="165">
        <f>K19/K20</f>
        <v>21.655424074869799</v>
      </c>
      <c r="L21" s="166"/>
      <c r="M21" s="36"/>
      <c r="N21" s="192"/>
    </row>
    <row r="22" spans="1:14" s="37" customForma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36"/>
      <c r="N22" s="192"/>
    </row>
  </sheetData>
  <sheetProtection algorithmName="SHA-512" hashValue="yTeXFuyuuSaow2+GDIGSZIWZholSdAu1AwgxOFCQaGw4kBCBnlAZock+uFs7IMtnq6RPO9CEoX/E/Iism5i3BA==" saltValue="4Q6uKX2PFtRsevfpDaW0uA==" spinCount="100000" sheet="1" objects="1" scenarios="1"/>
  <mergeCells count="51">
    <mergeCell ref="A4:B4"/>
    <mergeCell ref="K17:L17"/>
    <mergeCell ref="N1:N22"/>
    <mergeCell ref="A1:L1"/>
    <mergeCell ref="I3:J3"/>
    <mergeCell ref="K3:L3"/>
    <mergeCell ref="K2:L2"/>
    <mergeCell ref="C2:D2"/>
    <mergeCell ref="E2:F2"/>
    <mergeCell ref="G2:H2"/>
    <mergeCell ref="I2:J2"/>
    <mergeCell ref="G3:H3"/>
    <mergeCell ref="A2:B2"/>
    <mergeCell ref="A3:B3"/>
    <mergeCell ref="C3:D3"/>
    <mergeCell ref="E3:F3"/>
    <mergeCell ref="C4:D4"/>
    <mergeCell ref="E4:F4"/>
    <mergeCell ref="G4:H4"/>
    <mergeCell ref="G20:H20"/>
    <mergeCell ref="K4:L4"/>
    <mergeCell ref="C5:D5"/>
    <mergeCell ref="E5:F5"/>
    <mergeCell ref="G5:H5"/>
    <mergeCell ref="I4:J4"/>
    <mergeCell ref="K5:L5"/>
    <mergeCell ref="I5:J5"/>
    <mergeCell ref="C20:D20"/>
    <mergeCell ref="E20:F20"/>
    <mergeCell ref="I17:J17"/>
    <mergeCell ref="K20:L20"/>
    <mergeCell ref="C17:D17"/>
    <mergeCell ref="E17:F17"/>
    <mergeCell ref="G17:H17"/>
    <mergeCell ref="A5:B5"/>
    <mergeCell ref="A17:B17"/>
    <mergeCell ref="A16:B16"/>
    <mergeCell ref="G21:H21"/>
    <mergeCell ref="I21:J21"/>
    <mergeCell ref="K21:L21"/>
    <mergeCell ref="A19:B19"/>
    <mergeCell ref="A21:B21"/>
    <mergeCell ref="C19:D19"/>
    <mergeCell ref="E19:F19"/>
    <mergeCell ref="G19:H19"/>
    <mergeCell ref="I19:J19"/>
    <mergeCell ref="K19:L19"/>
    <mergeCell ref="C21:D21"/>
    <mergeCell ref="E21:F21"/>
    <mergeCell ref="I20:J20"/>
    <mergeCell ref="A20:B20"/>
  </mergeCells>
  <pageMargins left="0.7" right="0.7" top="0.75" bottom="0.75" header="0.3" footer="0.3"/>
  <pageSetup paperSize="9" orientation="portrait" r:id="rId1"/>
  <ignoredErrors>
    <ignoredError sqref="C3:L5 C17:L18 C19:L21 C16" unlockedFormula="1"/>
    <ignoredError sqref="D16:L16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:O16"/>
  <sheetViews>
    <sheetView workbookViewId="0">
      <selection activeCell="D9" sqref="D9"/>
    </sheetView>
  </sheetViews>
  <sheetFormatPr defaultColWidth="9.109375" defaultRowHeight="13.2" x14ac:dyDescent="0.25"/>
  <cols>
    <col min="1" max="1" width="11.88671875" style="1" customWidth="1"/>
    <col min="2" max="2" width="9.6640625" style="1" customWidth="1"/>
    <col min="3" max="3" width="8.88671875" style="1" customWidth="1"/>
    <col min="4" max="4" width="9.6640625" style="1" customWidth="1"/>
    <col min="5" max="5" width="12.33203125" style="1" customWidth="1"/>
    <col min="6" max="14" width="9.6640625" style="1" customWidth="1"/>
    <col min="15" max="15" width="13.6640625" style="1" customWidth="1"/>
    <col min="16" max="16" width="8.44140625" style="1" customWidth="1"/>
    <col min="17" max="16384" width="9.109375" style="1"/>
  </cols>
  <sheetData>
    <row r="1" spans="1:15" ht="27.75" customHeight="1" x14ac:dyDescent="0.25">
      <c r="A1" s="200" t="s">
        <v>74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</row>
    <row r="2" spans="1:15" ht="41.25" customHeight="1" x14ac:dyDescent="0.25">
      <c r="A2" s="204" t="s">
        <v>69</v>
      </c>
      <c r="B2" s="204" t="s">
        <v>49</v>
      </c>
      <c r="C2" s="204" t="s">
        <v>50</v>
      </c>
      <c r="D2" s="204" t="s">
        <v>51</v>
      </c>
      <c r="E2" s="204" t="s">
        <v>52</v>
      </c>
      <c r="F2" s="204" t="s">
        <v>53</v>
      </c>
      <c r="G2" s="204" t="s">
        <v>54</v>
      </c>
      <c r="H2" s="204" t="s">
        <v>55</v>
      </c>
      <c r="I2" s="204" t="s">
        <v>56</v>
      </c>
      <c r="J2" s="205" t="s">
        <v>57</v>
      </c>
      <c r="K2" s="204" t="s">
        <v>58</v>
      </c>
      <c r="L2" s="201" t="s">
        <v>59</v>
      </c>
      <c r="M2" s="201" t="s">
        <v>60</v>
      </c>
      <c r="N2" s="201" t="s">
        <v>61</v>
      </c>
      <c r="O2" s="201" t="s">
        <v>75</v>
      </c>
    </row>
    <row r="3" spans="1:15" ht="20.100000000000001" customHeight="1" x14ac:dyDescent="0.25">
      <c r="A3" s="205"/>
      <c r="B3" s="205"/>
      <c r="C3" s="205"/>
      <c r="D3" s="205"/>
      <c r="E3" s="205"/>
      <c r="F3" s="205"/>
      <c r="G3" s="205"/>
      <c r="H3" s="205"/>
      <c r="I3" s="205"/>
      <c r="J3" s="206"/>
      <c r="K3" s="205"/>
      <c r="L3" s="202"/>
      <c r="M3" s="202"/>
      <c r="N3" s="202"/>
      <c r="O3" s="202"/>
    </row>
    <row r="4" spans="1:15" ht="20.100000000000001" customHeight="1" x14ac:dyDescent="0.25">
      <c r="A4" s="7" t="s">
        <v>70</v>
      </c>
      <c r="B4" s="2">
        <v>4500</v>
      </c>
      <c r="C4" s="3">
        <v>24</v>
      </c>
      <c r="D4" s="2">
        <v>55000</v>
      </c>
      <c r="E4" s="4">
        <v>14</v>
      </c>
      <c r="F4" s="3">
        <v>20</v>
      </c>
      <c r="G4" s="4">
        <v>48</v>
      </c>
      <c r="H4" s="2">
        <v>180000</v>
      </c>
      <c r="I4" s="5">
        <v>0.02</v>
      </c>
      <c r="J4" s="5">
        <v>0.95</v>
      </c>
      <c r="K4" s="6">
        <v>0.4</v>
      </c>
      <c r="L4" s="8">
        <f>(B4*C4*12/E4+(G4/E4+1)*D4*J4*12/G4-B4*F4*12/E4)/12</f>
        <v>6106.3988095238083</v>
      </c>
      <c r="M4" s="8">
        <f t="shared" ref="M4:M11" si="0">PV(K4/12,G4,-L4,0)</f>
        <v>145228.54321571128</v>
      </c>
      <c r="N4" s="9">
        <f t="shared" ref="N4:N11" si="1">PV(K4/12,G4,0,-(H4*(1-I4)))</f>
        <v>36555.901907924199</v>
      </c>
      <c r="O4" s="10">
        <f>ROUND(SUM(M4:N4),0)</f>
        <v>181784</v>
      </c>
    </row>
    <row r="5" spans="1:15" ht="20.100000000000001" customHeight="1" x14ac:dyDescent="0.25">
      <c r="A5" s="7" t="s">
        <v>70</v>
      </c>
      <c r="B5" s="2">
        <v>4500</v>
      </c>
      <c r="C5" s="3">
        <v>24</v>
      </c>
      <c r="D5" s="2">
        <v>55000</v>
      </c>
      <c r="E5" s="4">
        <v>13</v>
      </c>
      <c r="F5" s="3">
        <v>20</v>
      </c>
      <c r="G5" s="4">
        <v>48</v>
      </c>
      <c r="H5" s="2">
        <v>180000</v>
      </c>
      <c r="I5" s="5">
        <v>0.02</v>
      </c>
      <c r="J5" s="5">
        <v>0.95</v>
      </c>
      <c r="K5" s="6">
        <v>0.4</v>
      </c>
      <c r="L5" s="8">
        <f>(B5*C5*12/E5+(G5/E5+1)*D5*J5*12/G5-B5*F5*12/E5)/12</f>
        <v>6492.3878205128194</v>
      </c>
      <c r="M5" s="8">
        <f t="shared" si="0"/>
        <v>154408.5236774818</v>
      </c>
      <c r="N5" s="9">
        <f t="shared" si="1"/>
        <v>36555.901907924199</v>
      </c>
      <c r="O5" s="10">
        <f>ROUND(SUM(M5:N5),0)</f>
        <v>190964</v>
      </c>
    </row>
    <row r="6" spans="1:15" ht="20.100000000000001" customHeight="1" x14ac:dyDescent="0.3">
      <c r="A6" s="7" t="s">
        <v>70</v>
      </c>
      <c r="B6" s="2">
        <v>5500</v>
      </c>
      <c r="C6" s="3">
        <v>24</v>
      </c>
      <c r="D6" s="2">
        <v>55000</v>
      </c>
      <c r="E6" s="4">
        <v>13</v>
      </c>
      <c r="F6" s="3">
        <v>20</v>
      </c>
      <c r="G6" s="4">
        <v>48</v>
      </c>
      <c r="H6" s="2">
        <v>180000</v>
      </c>
      <c r="I6" s="5">
        <v>0.02</v>
      </c>
      <c r="J6" s="5">
        <v>0.95</v>
      </c>
      <c r="K6" s="6">
        <v>0.4</v>
      </c>
      <c r="L6" s="8">
        <f t="shared" ref="L6:L11" si="2">(B6*C6*12/E6+(G6/E6+1)*D6*J6*12/G6-B6*F6*12/E6)/12</f>
        <v>6800.0801282051279</v>
      </c>
      <c r="M6" s="8">
        <f t="shared" si="0"/>
        <v>161726.37287120635</v>
      </c>
      <c r="N6" s="9">
        <f t="shared" si="1"/>
        <v>36555.901907924199</v>
      </c>
      <c r="O6" s="11">
        <f t="shared" ref="O6:O11" si="3">ROUND(SUM(M6:N6),0)</f>
        <v>198282</v>
      </c>
    </row>
    <row r="7" spans="1:15" ht="20.100000000000001" customHeight="1" x14ac:dyDescent="0.3">
      <c r="A7" s="7" t="s">
        <v>71</v>
      </c>
      <c r="B7" s="2">
        <v>3500</v>
      </c>
      <c r="C7" s="3">
        <v>30</v>
      </c>
      <c r="D7" s="2">
        <v>30000</v>
      </c>
      <c r="E7" s="4">
        <v>13</v>
      </c>
      <c r="F7" s="3">
        <v>20</v>
      </c>
      <c r="G7" s="4">
        <v>48</v>
      </c>
      <c r="H7" s="2">
        <v>80000</v>
      </c>
      <c r="I7" s="5">
        <v>0.02</v>
      </c>
      <c r="J7" s="5">
        <v>0.95</v>
      </c>
      <c r="K7" s="6">
        <v>0.4</v>
      </c>
      <c r="L7" s="8">
        <f t="shared" si="2"/>
        <v>5478.3653846153857</v>
      </c>
      <c r="M7" s="8">
        <f t="shared" si="0"/>
        <v>130292.01806639228</v>
      </c>
      <c r="N7" s="9">
        <f t="shared" si="1"/>
        <v>16247.067514632978</v>
      </c>
      <c r="O7" s="11">
        <f t="shared" si="3"/>
        <v>146539</v>
      </c>
    </row>
    <row r="8" spans="1:15" ht="20.100000000000001" customHeight="1" x14ac:dyDescent="0.3">
      <c r="A8" s="7" t="s">
        <v>71</v>
      </c>
      <c r="B8" s="2">
        <v>3500</v>
      </c>
      <c r="C8" s="3">
        <v>30</v>
      </c>
      <c r="D8" s="2">
        <v>30000</v>
      </c>
      <c r="E8" s="4">
        <v>13</v>
      </c>
      <c r="F8" s="3">
        <v>20</v>
      </c>
      <c r="G8" s="4">
        <v>48</v>
      </c>
      <c r="H8" s="2">
        <v>80000</v>
      </c>
      <c r="I8" s="5">
        <v>0.02</v>
      </c>
      <c r="J8" s="5">
        <v>0.95</v>
      </c>
      <c r="K8" s="6">
        <v>0.4</v>
      </c>
      <c r="L8" s="8">
        <f t="shared" si="2"/>
        <v>5478.3653846153857</v>
      </c>
      <c r="M8" s="8">
        <f t="shared" si="0"/>
        <v>130292.01806639228</v>
      </c>
      <c r="N8" s="9">
        <f t="shared" si="1"/>
        <v>16247.067514632978</v>
      </c>
      <c r="O8" s="11">
        <f t="shared" si="3"/>
        <v>146539</v>
      </c>
    </row>
    <row r="9" spans="1:15" ht="20.100000000000001" customHeight="1" x14ac:dyDescent="0.3">
      <c r="A9" s="7" t="s">
        <v>72</v>
      </c>
      <c r="B9" s="2">
        <v>7500</v>
      </c>
      <c r="C9" s="3">
        <v>22</v>
      </c>
      <c r="D9" s="2">
        <v>50000</v>
      </c>
      <c r="E9" s="4">
        <v>14</v>
      </c>
      <c r="F9" s="3">
        <v>20</v>
      </c>
      <c r="G9" s="4">
        <v>36</v>
      </c>
      <c r="H9" s="2">
        <v>153000</v>
      </c>
      <c r="I9" s="5">
        <v>0.02</v>
      </c>
      <c r="J9" s="5">
        <v>0.95</v>
      </c>
      <c r="K9" s="6">
        <v>0.4</v>
      </c>
      <c r="L9" s="8">
        <f t="shared" si="2"/>
        <v>5783.730158730159</v>
      </c>
      <c r="M9" s="8">
        <f t="shared" si="0"/>
        <v>120218.49971846922</v>
      </c>
      <c r="N9" s="9">
        <f t="shared" si="1"/>
        <v>46053.399985308337</v>
      </c>
      <c r="O9" s="11">
        <f t="shared" si="3"/>
        <v>166272</v>
      </c>
    </row>
    <row r="10" spans="1:15" ht="20.100000000000001" customHeight="1" x14ac:dyDescent="0.3">
      <c r="A10" s="7" t="s">
        <v>73</v>
      </c>
      <c r="B10" s="2">
        <v>6000</v>
      </c>
      <c r="C10" s="3">
        <v>14</v>
      </c>
      <c r="D10" s="2">
        <v>46000</v>
      </c>
      <c r="E10" s="4">
        <v>12</v>
      </c>
      <c r="F10" s="3">
        <v>20</v>
      </c>
      <c r="G10" s="4">
        <v>36</v>
      </c>
      <c r="H10" s="2">
        <v>82500</v>
      </c>
      <c r="I10" s="5">
        <v>0.02</v>
      </c>
      <c r="J10" s="5">
        <v>0.95</v>
      </c>
      <c r="K10" s="6">
        <v>0.4</v>
      </c>
      <c r="L10" s="8">
        <f t="shared" si="2"/>
        <v>1855.5555555555547</v>
      </c>
      <c r="M10" s="8">
        <f t="shared" si="0"/>
        <v>38568.899120656046</v>
      </c>
      <c r="N10" s="9">
        <f t="shared" si="1"/>
        <v>24832.715678352535</v>
      </c>
      <c r="O10" s="11">
        <f t="shared" si="3"/>
        <v>63402</v>
      </c>
    </row>
    <row r="11" spans="1:15" ht="20.100000000000001" customHeight="1" x14ac:dyDescent="0.3">
      <c r="A11" s="7" t="s">
        <v>73</v>
      </c>
      <c r="B11" s="2">
        <v>6000</v>
      </c>
      <c r="C11" s="3">
        <v>14</v>
      </c>
      <c r="D11" s="2">
        <v>46000</v>
      </c>
      <c r="E11" s="4">
        <v>14</v>
      </c>
      <c r="F11" s="3">
        <v>20</v>
      </c>
      <c r="G11" s="4">
        <v>42</v>
      </c>
      <c r="H11" s="2">
        <v>77000</v>
      </c>
      <c r="I11" s="5">
        <v>0.02</v>
      </c>
      <c r="J11" s="5">
        <v>0.95</v>
      </c>
      <c r="K11" s="6">
        <v>0.4</v>
      </c>
      <c r="L11" s="8">
        <f t="shared" si="2"/>
        <v>1590.4761904761908</v>
      </c>
      <c r="M11" s="8">
        <f t="shared" si="0"/>
        <v>35676.406427973481</v>
      </c>
      <c r="N11" s="9">
        <f t="shared" si="1"/>
        <v>19037.870049748064</v>
      </c>
      <c r="O11" s="11">
        <f t="shared" si="3"/>
        <v>54714</v>
      </c>
    </row>
    <row r="12" spans="1:15" ht="20.100000000000001" customHeight="1" x14ac:dyDescent="0.3">
      <c r="A12" s="7" t="s">
        <v>73</v>
      </c>
      <c r="B12" s="2">
        <v>6000</v>
      </c>
      <c r="C12" s="3">
        <v>14</v>
      </c>
      <c r="D12" s="2">
        <v>46000</v>
      </c>
      <c r="E12" s="4">
        <v>14</v>
      </c>
      <c r="F12" s="3">
        <v>20</v>
      </c>
      <c r="G12" s="4">
        <v>42</v>
      </c>
      <c r="H12" s="2">
        <v>77000</v>
      </c>
      <c r="I12" s="5">
        <v>0.02</v>
      </c>
      <c r="J12" s="5">
        <v>0.95</v>
      </c>
      <c r="K12" s="6">
        <v>0.4</v>
      </c>
      <c r="L12" s="8">
        <f t="shared" ref="L12:L15" si="4">(B12*C12*12/E12+(G12/E12+1)*D12*J12*12/G12-B12*F12*12/E12)/12</f>
        <v>1590.4761904761908</v>
      </c>
      <c r="M12" s="8">
        <f t="shared" ref="M12:M15" si="5">PV(K12/12,G12,-L12,0)</f>
        <v>35676.406427973481</v>
      </c>
      <c r="N12" s="9">
        <f t="shared" ref="N12:N15" si="6">PV(K12/12,G12,0,-(H12*(1-I12)))</f>
        <v>19037.870049748064</v>
      </c>
      <c r="O12" s="11">
        <f t="shared" ref="O12:O15" si="7">ROUND(SUM(M12:N12),0)</f>
        <v>54714</v>
      </c>
    </row>
    <row r="13" spans="1:15" ht="20.100000000000001" customHeight="1" x14ac:dyDescent="0.3">
      <c r="A13" s="7" t="s">
        <v>73</v>
      </c>
      <c r="B13" s="2">
        <v>6000</v>
      </c>
      <c r="C13" s="3">
        <v>14</v>
      </c>
      <c r="D13" s="2">
        <v>46000</v>
      </c>
      <c r="E13" s="4">
        <v>14</v>
      </c>
      <c r="F13" s="3">
        <v>20</v>
      </c>
      <c r="G13" s="4">
        <v>42</v>
      </c>
      <c r="H13" s="2">
        <v>77000</v>
      </c>
      <c r="I13" s="5">
        <v>0.02</v>
      </c>
      <c r="J13" s="5">
        <v>0.95</v>
      </c>
      <c r="K13" s="6">
        <v>0.4</v>
      </c>
      <c r="L13" s="8">
        <f t="shared" si="4"/>
        <v>1590.4761904761908</v>
      </c>
      <c r="M13" s="8">
        <f t="shared" si="5"/>
        <v>35676.406427973481</v>
      </c>
      <c r="N13" s="9">
        <f t="shared" si="6"/>
        <v>19037.870049748064</v>
      </c>
      <c r="O13" s="11">
        <f t="shared" si="7"/>
        <v>54714</v>
      </c>
    </row>
    <row r="14" spans="1:15" ht="20.100000000000001" customHeight="1" x14ac:dyDescent="0.3">
      <c r="A14" s="7" t="s">
        <v>73</v>
      </c>
      <c r="B14" s="2">
        <v>6000</v>
      </c>
      <c r="C14" s="3">
        <v>14</v>
      </c>
      <c r="D14" s="2">
        <v>46000</v>
      </c>
      <c r="E14" s="4">
        <v>14</v>
      </c>
      <c r="F14" s="3">
        <v>20</v>
      </c>
      <c r="G14" s="4">
        <v>42</v>
      </c>
      <c r="H14" s="2">
        <v>77000</v>
      </c>
      <c r="I14" s="5">
        <v>0.02</v>
      </c>
      <c r="J14" s="5">
        <v>0.95</v>
      </c>
      <c r="K14" s="6">
        <v>0.4</v>
      </c>
      <c r="L14" s="8">
        <f t="shared" si="4"/>
        <v>1590.4761904761908</v>
      </c>
      <c r="M14" s="8">
        <f t="shared" si="5"/>
        <v>35676.406427973481</v>
      </c>
      <c r="N14" s="9">
        <f t="shared" si="6"/>
        <v>19037.870049748064</v>
      </c>
      <c r="O14" s="11">
        <f t="shared" si="7"/>
        <v>54714</v>
      </c>
    </row>
    <row r="15" spans="1:15" ht="20.100000000000001" customHeight="1" x14ac:dyDescent="0.3">
      <c r="A15" s="7" t="s">
        <v>73</v>
      </c>
      <c r="B15" s="2">
        <v>6000</v>
      </c>
      <c r="C15" s="3">
        <v>14</v>
      </c>
      <c r="D15" s="2">
        <v>46000</v>
      </c>
      <c r="E15" s="4">
        <v>14</v>
      </c>
      <c r="F15" s="3">
        <v>20</v>
      </c>
      <c r="G15" s="4">
        <v>42</v>
      </c>
      <c r="H15" s="2">
        <v>77000</v>
      </c>
      <c r="I15" s="5">
        <v>0.02</v>
      </c>
      <c r="J15" s="5">
        <v>0.95</v>
      </c>
      <c r="K15" s="6">
        <v>0.4</v>
      </c>
      <c r="L15" s="8">
        <f t="shared" si="4"/>
        <v>1590.4761904761908</v>
      </c>
      <c r="M15" s="8">
        <f t="shared" si="5"/>
        <v>35676.406427973481</v>
      </c>
      <c r="N15" s="9">
        <f t="shared" si="6"/>
        <v>19037.870049748064</v>
      </c>
      <c r="O15" s="11">
        <f t="shared" si="7"/>
        <v>54714</v>
      </c>
    </row>
    <row r="16" spans="1:15" ht="20.100000000000001" customHeight="1" x14ac:dyDescent="0.25">
      <c r="A16" s="203" t="s">
        <v>62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12"/>
    </row>
  </sheetData>
  <sheetProtection password="CE28" sheet="1" objects="1" scenarios="1"/>
  <mergeCells count="17">
    <mergeCell ref="M2:M3"/>
    <mergeCell ref="A1:O1"/>
    <mergeCell ref="N2:N3"/>
    <mergeCell ref="O2:O3"/>
    <mergeCell ref="A16:N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showInputMessage="1" showErrorMessage="1" sqref="B3:B10" xr:uid="{00000000-0002-0000-0200-000000000000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Düve Fiyat Hesaplama</vt:lpstr>
      <vt:lpstr>Rasyon Maliyeti Hesaplama</vt:lpstr>
      <vt:lpstr>DÜVE FİYAT KARŞILAŞTIRMA</vt:lpstr>
    </vt:vector>
  </TitlesOfParts>
  <Company>Animal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de Vries</dc:creator>
  <cp:lastModifiedBy>ozans</cp:lastModifiedBy>
  <cp:lastPrinted>2004-05-26T11:19:11Z</cp:lastPrinted>
  <dcterms:created xsi:type="dcterms:W3CDTF">2001-12-11T18:35:02Z</dcterms:created>
  <dcterms:modified xsi:type="dcterms:W3CDTF">2026-02-27T12:01:26Z</dcterms:modified>
</cp:coreProperties>
</file>