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zhan\Desktop\"/>
    </mc:Choice>
  </mc:AlternateContent>
  <xr:revisionPtr revIDLastSave="0" documentId="13_ncr:1_{1DC77623-4641-4B7A-9019-FF24AD925B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üve değer_1" sheetId="1" r:id="rId1"/>
    <sheet name="rasyon" sheetId="3" r:id="rId2"/>
    <sheet name="düve değer_mukayese_çoklu" sheetId="2" r:id="rId3"/>
    <sheet name="Sayfa1" sheetId="4" r:id="rId4"/>
  </sheets>
  <definedNames>
    <definedName name="_xlnm.Print_Area" localSheetId="0">'düve değer_1'!$A$1:$H$28</definedName>
  </definedNames>
  <calcPr calcId="191029"/>
</workbook>
</file>

<file path=xl/calcChain.xml><?xml version="1.0" encoding="utf-8"?>
<calcChain xmlns="http://schemas.openxmlformats.org/spreadsheetml/2006/main">
  <c r="G18" i="3" l="1"/>
  <c r="F18" i="3"/>
  <c r="E18" i="3"/>
  <c r="D18" i="3"/>
  <c r="C18" i="3"/>
  <c r="L9" i="2"/>
  <c r="M9" i="2"/>
  <c r="N9" i="2" s="1"/>
  <c r="L10" i="2"/>
  <c r="M10" i="2"/>
  <c r="N10" i="2" s="1"/>
  <c r="L11" i="2"/>
  <c r="M11" i="2"/>
  <c r="N11" i="2" s="1"/>
  <c r="E8" i="1"/>
  <c r="L5" i="2"/>
  <c r="L4" i="2"/>
  <c r="E15" i="3"/>
  <c r="F15" i="3"/>
  <c r="G15" i="3"/>
  <c r="H15" i="3"/>
  <c r="I15" i="3"/>
  <c r="J15" i="3"/>
  <c r="K15" i="3"/>
  <c r="L15" i="3"/>
  <c r="D15" i="3"/>
  <c r="C15" i="3"/>
  <c r="C16" i="3" l="1"/>
  <c r="K16" i="3"/>
  <c r="G16" i="3"/>
  <c r="I16" i="3"/>
  <c r="E16" i="3"/>
  <c r="G21" i="3"/>
  <c r="G22" i="3" s="1"/>
  <c r="F21" i="3"/>
  <c r="C21" i="3"/>
  <c r="C22" i="3" s="1"/>
  <c r="D21" i="3"/>
  <c r="D22" i="3" s="1"/>
  <c r="E21" i="3"/>
  <c r="E22" i="3" s="1"/>
  <c r="F24" i="3" l="1"/>
  <c r="B10" i="1"/>
  <c r="B12" i="1" s="1"/>
  <c r="F22" i="3"/>
  <c r="E18" i="1"/>
  <c r="F25" i="3" l="1"/>
  <c r="E10" i="1"/>
  <c r="H7" i="1"/>
  <c r="F7" i="1"/>
  <c r="B9" i="1"/>
  <c r="B17" i="1" l="1"/>
  <c r="N5" i="1" l="1"/>
  <c r="O5" i="1"/>
  <c r="P5" i="1"/>
  <c r="N6" i="1"/>
  <c r="O6" i="1"/>
  <c r="P6" i="1"/>
  <c r="N7" i="1"/>
  <c r="O7" i="1"/>
  <c r="P7" i="1"/>
  <c r="G16" i="1"/>
  <c r="B16" i="1"/>
  <c r="L8" i="2"/>
  <c r="L7" i="2"/>
  <c r="L6" i="2"/>
  <c r="M4" i="2"/>
  <c r="B20" i="1"/>
  <c r="N4" i="2" l="1"/>
  <c r="E17" i="1"/>
  <c r="M15" i="1" s="1"/>
  <c r="E19" i="1"/>
  <c r="G19" i="1" s="1"/>
  <c r="H16" i="1"/>
  <c r="H18" i="1" s="1"/>
  <c r="F16" i="1"/>
  <c r="F18" i="1" s="1"/>
  <c r="M17" i="1"/>
  <c r="B22" i="1"/>
  <c r="H8" i="1"/>
  <c r="F9" i="1"/>
  <c r="H9" i="1"/>
  <c r="G10" i="1"/>
  <c r="H10" i="1"/>
  <c r="F8" i="1"/>
  <c r="G8" i="1"/>
  <c r="F10" i="1"/>
  <c r="G18" i="1"/>
  <c r="G9" i="1"/>
  <c r="F19" i="1"/>
  <c r="O14" i="1"/>
  <c r="M16" i="1"/>
  <c r="M5" i="2"/>
  <c r="N5" i="2" s="1"/>
  <c r="M7" i="2"/>
  <c r="N7" i="2" s="1"/>
  <c r="M6" i="2"/>
  <c r="N6" i="2" s="1"/>
  <c r="B18" i="1"/>
  <c r="B19" i="1" s="1"/>
  <c r="N14" i="1" l="1"/>
  <c r="N16" i="1" s="1"/>
  <c r="N17" i="1"/>
  <c r="P14" i="1"/>
  <c r="P16" i="1" s="1"/>
  <c r="O17" i="1"/>
  <c r="P17" i="1"/>
  <c r="H19" i="1"/>
  <c r="P15" i="1"/>
  <c r="N15" i="1"/>
  <c r="H17" i="1"/>
  <c r="G17" i="1"/>
  <c r="O15" i="1"/>
  <c r="F17" i="1"/>
  <c r="O16" i="1"/>
  <c r="M8" i="2"/>
  <c r="N8" i="2" s="1"/>
  <c r="B21" i="1"/>
  <c r="B23" i="1" s="1"/>
  <c r="F2" i="1" s="1"/>
  <c r="E2" i="1" l="1"/>
  <c r="G2" i="1"/>
</calcChain>
</file>

<file path=xl/sharedStrings.xml><?xml version="1.0" encoding="utf-8"?>
<sst xmlns="http://schemas.openxmlformats.org/spreadsheetml/2006/main" count="105" uniqueCount="85">
  <si>
    <t>milk price</t>
  </si>
  <si>
    <t>receipts</t>
  </si>
  <si>
    <t>expenses</t>
  </si>
  <si>
    <t>A</t>
  </si>
  <si>
    <t>B</t>
  </si>
  <si>
    <t>C</t>
  </si>
  <si>
    <t>D</t>
  </si>
  <si>
    <t>E</t>
  </si>
  <si>
    <t>milk yield</t>
  </si>
  <si>
    <r>
      <t>Table 3.  Sensitivity Analysis of Average Annual Net Income</t>
    </r>
    <r>
      <rPr>
        <sz val="10"/>
        <color indexed="47"/>
        <rFont val="Arial"/>
        <family val="2"/>
        <charset val="162"/>
      </rPr>
      <t xml:space="preserve"> </t>
    </r>
  </si>
  <si>
    <t>Buzağı fiyatı</t>
  </si>
  <si>
    <t>İki doğum arası süre (ay)</t>
  </si>
  <si>
    <t>Yıllık süt verimi (kg)</t>
  </si>
  <si>
    <t>Yıllık gelir</t>
  </si>
  <si>
    <t>Yıllık gelir gider farkı</t>
  </si>
  <si>
    <t>Yıllık faiz oranı</t>
  </si>
  <si>
    <t>Ayıklanan inek geliri</t>
  </si>
  <si>
    <t>Düvenin bügünkü değeri( maksimum alış fiyatı)</t>
  </si>
  <si>
    <t>Halihazırdaki değeri(D-H)</t>
  </si>
  <si>
    <t>Aylık gelir gider farkı</t>
  </si>
  <si>
    <t>Değişken masraflar</t>
  </si>
  <si>
    <t>Süt verimi</t>
  </si>
  <si>
    <t>gri</t>
  </si>
  <si>
    <t>TL</t>
  </si>
  <si>
    <t>İNEK VEYA DÜVE</t>
  </si>
  <si>
    <t>SÜT VERİMİ</t>
  </si>
  <si>
    <t>SÜT FİYATI</t>
  </si>
  <si>
    <t>BUZAĞI FİYATI</t>
  </si>
  <si>
    <t>BUZAĞILAMA ARALIĞI</t>
  </si>
  <si>
    <t>1 LİTRE SÜT MALİYETİ</t>
  </si>
  <si>
    <t>VERİMLİ ÖMÜR</t>
  </si>
  <si>
    <t>AYIKLANAN İNEK FİYATI</t>
  </si>
  <si>
    <t>AYLIK FAİZ ORANI</t>
  </si>
  <si>
    <t>Etçi gider</t>
  </si>
  <si>
    <t>AYLIK NET KAZANÇ</t>
  </si>
  <si>
    <t>BD_AİF</t>
  </si>
  <si>
    <t>var</t>
  </si>
  <si>
    <t>GEBE DÜVENİN BUGÜNKÜ DEĞERİ</t>
  </si>
  <si>
    <t>Sürüde kalma süresi, ay</t>
  </si>
  <si>
    <r>
      <t>Table 3.  Sensitivity Analysis of Average Annual Net Income</t>
    </r>
    <r>
      <rPr>
        <sz val="10"/>
        <rFont val="Arial"/>
        <family val="2"/>
        <charset val="162"/>
      </rPr>
      <t xml:space="preserve"> </t>
    </r>
  </si>
  <si>
    <t>Aylık faiz oranı</t>
  </si>
  <si>
    <t>Yıllık ayıklama oranı</t>
  </si>
  <si>
    <t>Ayıklanan ineğin bu günkü değeri</t>
  </si>
  <si>
    <t>Bir düvenin alış fiyatı için en yüksek değer ne olmalıdır??</t>
  </si>
  <si>
    <t>Gelirler</t>
  </si>
  <si>
    <t>Masraflar</t>
  </si>
  <si>
    <t xml:space="preserve"> 1 kg süt maliyeti</t>
  </si>
  <si>
    <t>Gelirde Değişim Oranı, %</t>
  </si>
  <si>
    <t>Masraflarda Değişim Oranı, %</t>
  </si>
  <si>
    <t>Duyarlılık analizi: Toplam Gelir ve Masrafları değiştirirek.</t>
  </si>
  <si>
    <t>Süt Fiyatında Değişim Oranı, %</t>
  </si>
  <si>
    <t>Süt Miktarında  Değişim Miktarı, kg</t>
  </si>
  <si>
    <t>En az</t>
  </si>
  <si>
    <t xml:space="preserve"> B sütunu geçerli ise</t>
  </si>
  <si>
    <t>En fazla</t>
  </si>
  <si>
    <t>1 kg süt maliyetinde yemin payı, %</t>
  </si>
  <si>
    <t>1 kg sütün fiyatı</t>
  </si>
  <si>
    <t>1 kg sütün yem (Rasyon) bedeli</t>
  </si>
  <si>
    <t>Duyarlılık analizi: Süt fiyatı ve Süt verimini değiştirerek.</t>
  </si>
  <si>
    <t>Süt verimi, kg</t>
  </si>
  <si>
    <t>SAĞMAL</t>
  </si>
  <si>
    <t>KURU</t>
  </si>
  <si>
    <t>MISIR SİLAJI</t>
  </si>
  <si>
    <t>SAMAN</t>
  </si>
  <si>
    <t>YONCA</t>
  </si>
  <si>
    <t>SIĞIR SÜT YEMİ</t>
  </si>
  <si>
    <t>SOYA TOHUMU KÜSPESİ</t>
  </si>
  <si>
    <t>Rasyon_TL/İNEK/GÜN</t>
  </si>
  <si>
    <t>Yemin toplam giderde payı</t>
  </si>
  <si>
    <t>Süt fiyatı TL/kg</t>
  </si>
  <si>
    <t>YEM MADDESİ</t>
  </si>
  <si>
    <t>YEM FİYATI</t>
  </si>
  <si>
    <t xml:space="preserve"> Alım fiyatı masrafta </t>
  </si>
  <si>
    <t>F</t>
  </si>
  <si>
    <t>G</t>
  </si>
  <si>
    <t>H</t>
  </si>
  <si>
    <t>TOPLAM</t>
  </si>
  <si>
    <t>SÜTÜN YEM MALİYETİ</t>
  </si>
  <si>
    <t>LAKTASYON SÜT VERİMİ, KG</t>
  </si>
  <si>
    <t>SÜTÜN TOPLAM MALİYETİ</t>
  </si>
  <si>
    <t>….</t>
  </si>
  <si>
    <t>Gri satırlardaki kırmızı hücrelere veri giriniz</t>
  </si>
  <si>
    <t>FARKLI ÖZLLİKLERDEKİ DÜVELER VE DURUMLAR İÇİN FİYATLARIN BİR ARADA HESAPLANMASINI SAĞLAR</t>
  </si>
  <si>
    <r>
      <rPr>
        <sz val="10"/>
        <color rgb="FFFF0000"/>
        <rFont val="Arial"/>
        <family val="2"/>
        <charset val="162"/>
      </rPr>
      <t xml:space="preserve">Duyarlılık Analizi: </t>
    </r>
    <r>
      <rPr>
        <sz val="10"/>
        <rFont val="Arial"/>
        <family val="2"/>
        <charset val="162"/>
      </rPr>
      <t xml:space="preserve">a) Birinci bölümde gelir(G5) ve masrafın (G11) değişeceği yüzde değerler sonucunda oluşacak yeni düve fiyatı hesaplanır. </t>
    </r>
    <r>
      <rPr>
        <sz val="10"/>
        <color rgb="FFFF0000"/>
        <rFont val="Arial"/>
        <family val="2"/>
        <charset val="162"/>
      </rPr>
      <t>b)</t>
    </r>
    <r>
      <rPr>
        <sz val="10"/>
        <rFont val="Arial"/>
        <family val="2"/>
        <charset val="162"/>
      </rPr>
      <t xml:space="preserve"> İkinci bölüm ise; süt fiyatının öngörülen oranlarda değişimi (G14)  ve  süt veriminin belirli miktarda (G20) değişimi sonucu oluşan yeni düve fiyatını verir.</t>
    </r>
  </si>
  <si>
    <r>
      <t>KULLANIM: Sadece</t>
    </r>
    <r>
      <rPr>
        <b/>
        <sz val="10"/>
        <color rgb="FFFF0000"/>
        <rFont val="Arial"/>
        <family val="2"/>
        <charset val="162"/>
      </rPr>
      <t xml:space="preserve"> KIRMIZI </t>
    </r>
    <r>
      <rPr>
        <b/>
        <sz val="10"/>
        <rFont val="Arial"/>
        <family val="2"/>
        <charset val="162"/>
      </rPr>
      <t xml:space="preserve">renkli hücreler değişitirilecek; Süt fiyatı üreticinin eline geçen kg fiyatı olarak yazılacak. </t>
    </r>
    <r>
      <rPr>
        <b/>
        <sz val="10"/>
        <color rgb="FFFF0000"/>
        <rFont val="Arial"/>
        <family val="2"/>
        <charset val="162"/>
      </rPr>
      <t>Buzağı fiyatı:</t>
    </r>
    <r>
      <rPr>
        <b/>
        <sz val="1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a)</t>
    </r>
    <r>
      <rPr>
        <b/>
        <sz val="10"/>
        <rFont val="Arial"/>
        <family val="2"/>
        <charset val="162"/>
      </rPr>
      <t xml:space="preserve"> Maksimum 15 günlük buzağının satış değeri olarak yazılacak.   </t>
    </r>
    <r>
      <rPr>
        <b/>
        <sz val="10"/>
        <color rgb="FFFF0000"/>
        <rFont val="Arial"/>
        <family val="2"/>
        <charset val="162"/>
      </rPr>
      <t>b)</t>
    </r>
    <r>
      <rPr>
        <b/>
        <sz val="10"/>
        <rFont val="Arial"/>
        <family val="2"/>
        <charset val="162"/>
      </rPr>
      <t xml:space="preserve"> Sütte kesilen buzağı fiyatı esas alınırsa,  sütten kesime kadar olan masraflar ile sütten kesime kadar olan dönem ölüm oranının buzağı fiyatı ile çarpımı toplanıp, hayvan alım fiyatından çıkarılacaktır.  </t>
    </r>
    <r>
      <rPr>
        <b/>
        <sz val="10"/>
        <color rgb="FFFF0000"/>
        <rFont val="Arial"/>
        <family val="2"/>
        <charset val="162"/>
      </rPr>
      <t xml:space="preserve">Ayıklanan inek geliri: </t>
    </r>
    <r>
      <rPr>
        <b/>
        <sz val="10"/>
        <rFont val="Arial"/>
        <family val="2"/>
        <charset val="162"/>
      </rPr>
      <t>yaşlılık hastalık vb nedenlerle sürüden ayrılan inek başına ortalama değer yazılacaktır.  İneklerde ölüm oranı yüksek ise, ortalama hesaplanırken ölenler de dikkate alınacaktır.  Bir</t>
    </r>
    <r>
      <rPr>
        <b/>
        <sz val="10"/>
        <color rgb="FFFF0000"/>
        <rFont val="Arial"/>
        <family val="2"/>
        <charset val="162"/>
      </rPr>
      <t xml:space="preserve"> kg sütün Rasyon Bedeli: H</t>
    </r>
    <r>
      <rPr>
        <b/>
        <sz val="10"/>
        <rFont val="Arial"/>
        <family val="2"/>
        <charset val="162"/>
      </rPr>
      <t>esaplanmış ise doğrudan yazılacak. hesaplanmamış ise sadece "rasyon" çalışma sayfasında fiyatlar değiştirilerek elde edilebilecektir.</t>
    </r>
    <r>
      <rPr>
        <b/>
        <sz val="10"/>
        <color rgb="FFFF0000"/>
        <rFont val="Arial"/>
        <family val="2"/>
        <charset val="162"/>
      </rPr>
      <t xml:space="preserve"> 1 kg süt maliyetinde yemin payı, %</t>
    </r>
    <r>
      <rPr>
        <b/>
        <sz val="10"/>
        <rFont val="Arial"/>
        <family val="2"/>
        <charset val="162"/>
      </rPr>
      <t>; tahmin edilerek yazılacaktır.</t>
    </r>
    <r>
      <rPr>
        <b/>
        <sz val="10"/>
        <color rgb="FFFF0000"/>
        <rFont val="Arial"/>
        <family val="2"/>
        <charset val="162"/>
      </rPr>
      <t>Yıllık faiz oranı</t>
    </r>
    <r>
      <rPr>
        <b/>
        <sz val="10"/>
        <rFont val="Arial"/>
        <family val="2"/>
        <charset val="162"/>
      </rPr>
      <t xml:space="preserve">: Mevduata verilen yıllık faiz esas alınacaktır. </t>
    </r>
    <r>
      <rPr>
        <b/>
        <sz val="10"/>
        <color rgb="FFFF0000"/>
        <rFont val="Arial"/>
        <family val="2"/>
        <charset val="162"/>
      </rPr>
      <t>Sürüde kalma süresi, ay:</t>
    </r>
    <r>
      <rPr>
        <b/>
        <sz val="10"/>
        <rFont val="Arial"/>
        <family val="2"/>
        <charset val="162"/>
      </rPr>
      <t xml:space="preserve"> İneklerin sürüden çıkarıldıklarındaki ortalama yaşları ile ilk doğurdukları ortalama yaşarasındaki farktır. </t>
    </r>
    <r>
      <rPr>
        <b/>
        <sz val="10"/>
        <color rgb="FFFF0000"/>
        <rFont val="Arial"/>
        <family val="2"/>
        <charset val="162"/>
      </rPr>
      <t xml:space="preserve">İki doğum arası süre (ay): </t>
    </r>
    <r>
      <rPr>
        <b/>
        <sz val="10"/>
        <rFont val="Arial"/>
        <family val="2"/>
        <charset val="162"/>
      </rPr>
      <t>Sürünün ortalama iki doğum arası süresidir.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</si>
</sst>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T_L_-;\-* #,##0.00\ _T_L_-;_-* &quot;-&quot;??\ _T_L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0.0%"/>
    <numFmt numFmtId="170" formatCode="_-* #,##0.00\ [$TL-41F]_-;\-* #,##0.00\ [$TL-41F]_-;_-* &quot;-&quot;??\ [$TL-41F]_-;_-@_-"/>
    <numFmt numFmtId="171" formatCode="#,##0\ &quot;TL&quot;"/>
    <numFmt numFmtId="172" formatCode="#,##0\ _T_L"/>
    <numFmt numFmtId="173" formatCode="#,##0.0"/>
    <numFmt numFmtId="174" formatCode="#,##0.0\ &quot;₺&quot;"/>
    <numFmt numFmtId="175" formatCode="#,##0.0\ &quot;TL&quot;"/>
    <numFmt numFmtId="176" formatCode="#,##0.00\ &quot;TL&quot;"/>
    <numFmt numFmtId="177" formatCode="0.0"/>
    <numFmt numFmtId="178" formatCode="0.00000"/>
    <numFmt numFmtId="179" formatCode="0.000000"/>
  </numFmts>
  <fonts count="32" x14ac:knownFonts="1">
    <font>
      <sz val="10"/>
      <name val="Arial"/>
    </font>
    <font>
      <sz val="10"/>
      <name val="Arial"/>
      <family val="2"/>
      <charset val="16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sz val="10"/>
      <color indexed="22"/>
      <name val="Arial"/>
      <family val="2"/>
      <charset val="162"/>
    </font>
    <font>
      <sz val="10"/>
      <color indexed="47"/>
      <name val="Arial"/>
      <family val="2"/>
      <charset val="162"/>
    </font>
    <font>
      <b/>
      <sz val="10"/>
      <color indexed="47"/>
      <name val="Arial"/>
      <family val="2"/>
      <charset val="162"/>
    </font>
    <font>
      <sz val="8"/>
      <color indexed="47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4"/>
      <color indexed="10"/>
      <name val="Arial"/>
      <family val="2"/>
      <charset val="162"/>
    </font>
    <font>
      <sz val="14"/>
      <color indexed="12"/>
      <name val="Arial"/>
      <family val="2"/>
      <charset val="16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6"/>
      <color indexed="12"/>
      <name val="Arial"/>
      <family val="2"/>
    </font>
    <font>
      <b/>
      <sz val="14"/>
      <color indexed="10"/>
      <name val="Arial"/>
      <family val="2"/>
      <charset val="162"/>
    </font>
    <font>
      <b/>
      <sz val="16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1"/>
      <name val="Arial"/>
      <family val="2"/>
      <charset val="162"/>
    </font>
    <font>
      <sz val="10"/>
      <color rgb="FFFF0000"/>
      <name val="Arial"/>
      <family val="2"/>
      <charset val="162"/>
    </font>
    <font>
      <sz val="14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168" fontId="3" fillId="0" borderId="0" xfId="0" applyNumberFormat="1" applyFont="1" applyProtection="1"/>
    <xf numFmtId="2" fontId="2" fillId="0" borderId="0" xfId="0" applyNumberFormat="1" applyFont="1" applyProtection="1"/>
    <xf numFmtId="2" fontId="0" fillId="0" borderId="0" xfId="0" applyNumberFormat="1" applyProtection="1"/>
    <xf numFmtId="164" fontId="0" fillId="0" borderId="0" xfId="0" applyNumberFormat="1" applyProtection="1"/>
    <xf numFmtId="170" fontId="0" fillId="0" borderId="0" xfId="0" applyNumberForma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2" xfId="0" applyFont="1" applyBorder="1" applyProtection="1"/>
    <xf numFmtId="0" fontId="11" fillId="0" borderId="1" xfId="0" applyFont="1" applyBorder="1" applyProtection="1"/>
    <xf numFmtId="9" fontId="12" fillId="0" borderId="2" xfId="0" applyNumberFormat="1" applyFont="1" applyBorder="1" applyProtection="1"/>
    <xf numFmtId="0" fontId="9" fillId="0" borderId="3" xfId="0" applyFont="1" applyBorder="1" applyProtection="1"/>
    <xf numFmtId="167" fontId="12" fillId="0" borderId="2" xfId="0" applyNumberFormat="1" applyFont="1" applyBorder="1" applyProtection="1"/>
    <xf numFmtId="167" fontId="12" fillId="0" borderId="3" xfId="0" applyNumberFormat="1" applyFont="1" applyBorder="1" applyProtection="1"/>
    <xf numFmtId="171" fontId="9" fillId="0" borderId="0" xfId="0" applyNumberFormat="1" applyFont="1" applyProtection="1"/>
    <xf numFmtId="0" fontId="13" fillId="0" borderId="0" xfId="0" applyFont="1" applyAlignment="1" applyProtection="1">
      <alignment horizontal="right"/>
    </xf>
    <xf numFmtId="0" fontId="15" fillId="0" borderId="0" xfId="0" applyFont="1" applyProtection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quotePrefix="1" applyFont="1" applyBorder="1" applyProtection="1"/>
    <xf numFmtId="9" fontId="1" fillId="0" borderId="0" xfId="0" quotePrefix="1" applyNumberFormat="1" applyFont="1" applyBorder="1" applyProtection="1"/>
    <xf numFmtId="9" fontId="1" fillId="0" borderId="0" xfId="0" applyNumberFormat="1" applyFont="1" applyBorder="1" applyProtection="1"/>
    <xf numFmtId="165" fontId="1" fillId="0" borderId="0" xfId="0" applyNumberFormat="1" applyFont="1" applyProtection="1"/>
    <xf numFmtId="0" fontId="1" fillId="0" borderId="0" xfId="0" applyFont="1" applyBorder="1" applyProtection="1"/>
    <xf numFmtId="0" fontId="18" fillId="0" borderId="0" xfId="0" applyFont="1" applyProtection="1"/>
    <xf numFmtId="0" fontId="19" fillId="0" borderId="0" xfId="0" applyFont="1" applyBorder="1" applyProtection="1"/>
    <xf numFmtId="167" fontId="1" fillId="0" borderId="0" xfId="0" quotePrefix="1" applyNumberFormat="1" applyFont="1" applyBorder="1" applyProtection="1"/>
    <xf numFmtId="168" fontId="1" fillId="0" borderId="0" xfId="0" applyNumberFormat="1" applyFont="1" applyProtection="1"/>
    <xf numFmtId="2" fontId="1" fillId="0" borderId="0" xfId="0" applyNumberFormat="1" applyFont="1" applyProtection="1"/>
    <xf numFmtId="174" fontId="1" fillId="0" borderId="0" xfId="0" applyNumberFormat="1" applyFont="1" applyBorder="1" applyProtection="1"/>
    <xf numFmtId="174" fontId="1" fillId="0" borderId="0" xfId="0" quotePrefix="1" applyNumberFormat="1" applyFont="1" applyBorder="1" applyProtection="1"/>
    <xf numFmtId="175" fontId="12" fillId="0" borderId="4" xfId="0" applyNumberFormat="1" applyFont="1" applyBorder="1" applyProtection="1"/>
    <xf numFmtId="171" fontId="9" fillId="0" borderId="8" xfId="0" applyNumberFormat="1" applyFont="1" applyBorder="1" applyProtection="1"/>
    <xf numFmtId="0" fontId="15" fillId="0" borderId="0" xfId="0" applyFont="1" applyAlignment="1" applyProtection="1">
      <alignment horizontal="right"/>
    </xf>
    <xf numFmtId="0" fontId="15" fillId="0" borderId="14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right"/>
    </xf>
    <xf numFmtId="3" fontId="14" fillId="2" borderId="15" xfId="1" applyNumberFormat="1" applyFont="1" applyFill="1" applyBorder="1" applyAlignment="1" applyProtection="1">
      <alignment horizontal="center"/>
      <protection locked="0"/>
    </xf>
    <xf numFmtId="3" fontId="14" fillId="2" borderId="16" xfId="2" applyNumberFormat="1" applyFont="1" applyFill="1" applyBorder="1" applyAlignment="1" applyProtection="1">
      <alignment horizontal="center"/>
      <protection locked="0"/>
    </xf>
    <xf numFmtId="3" fontId="13" fillId="0" borderId="16" xfId="0" quotePrefix="1" applyNumberFormat="1" applyFont="1" applyBorder="1" applyAlignment="1" applyProtection="1">
      <alignment horizontal="center"/>
    </xf>
    <xf numFmtId="10" fontId="10" fillId="0" borderId="16" xfId="0" applyNumberFormat="1" applyFont="1" applyBorder="1" applyProtection="1"/>
    <xf numFmtId="3" fontId="13" fillId="0" borderId="16" xfId="0" applyNumberFormat="1" applyFont="1" applyBorder="1" applyAlignment="1" applyProtection="1">
      <alignment horizontal="center"/>
    </xf>
    <xf numFmtId="173" fontId="14" fillId="2" borderId="16" xfId="1" applyNumberFormat="1" applyFont="1" applyFill="1" applyBorder="1" applyAlignment="1" applyProtection="1">
      <alignment horizontal="center"/>
      <protection locked="0"/>
    </xf>
    <xf numFmtId="3" fontId="13" fillId="0" borderId="17" xfId="0" applyNumberFormat="1" applyFont="1" applyBorder="1" applyAlignment="1" applyProtection="1">
      <alignment horizontal="center"/>
    </xf>
    <xf numFmtId="169" fontId="10" fillId="0" borderId="16" xfId="0" applyNumberFormat="1" applyFont="1" applyBorder="1" applyProtection="1"/>
    <xf numFmtId="9" fontId="12" fillId="0" borderId="4" xfId="0" applyNumberFormat="1" applyFont="1" applyBorder="1" applyAlignment="1" applyProtection="1">
      <alignment horizontal="center"/>
    </xf>
    <xf numFmtId="9" fontId="12" fillId="0" borderId="5" xfId="0" applyNumberFormat="1" applyFont="1" applyBorder="1" applyAlignment="1" applyProtection="1">
      <alignment horizontal="center"/>
    </xf>
    <xf numFmtId="4" fontId="14" fillId="2" borderId="16" xfId="2" applyNumberFormat="1" applyFont="1" applyFill="1" applyBorder="1" applyAlignment="1" applyProtection="1">
      <alignment horizontal="center"/>
      <protection locked="0"/>
    </xf>
    <xf numFmtId="9" fontId="12" fillId="0" borderId="20" xfId="0" applyNumberFormat="1" applyFont="1" applyBorder="1" applyAlignment="1" applyProtection="1">
      <alignment horizontal="center"/>
    </xf>
    <xf numFmtId="9" fontId="12" fillId="0" borderId="21" xfId="0" applyNumberFormat="1" applyFont="1" applyBorder="1" applyProtection="1"/>
    <xf numFmtId="171" fontId="9" fillId="0" borderId="21" xfId="0" applyNumberFormat="1" applyFont="1" applyBorder="1" applyProtection="1"/>
    <xf numFmtId="4" fontId="13" fillId="2" borderId="16" xfId="2" applyNumberFormat="1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176" fontId="12" fillId="0" borderId="4" xfId="0" applyNumberFormat="1" applyFont="1" applyBorder="1" applyProtection="1"/>
    <xf numFmtId="0" fontId="11" fillId="0" borderId="0" xfId="0" applyFont="1" applyBorder="1" applyProtection="1"/>
    <xf numFmtId="0" fontId="11" fillId="0" borderId="3" xfId="0" applyFont="1" applyBorder="1" applyProtection="1"/>
    <xf numFmtId="0" fontId="9" fillId="0" borderId="0" xfId="0" applyFont="1" applyBorder="1" applyProtection="1"/>
    <xf numFmtId="0" fontId="11" fillId="0" borderId="22" xfId="0" applyFont="1" applyBorder="1" applyProtection="1"/>
    <xf numFmtId="171" fontId="11" fillId="0" borderId="0" xfId="0" applyNumberFormat="1" applyFont="1" applyBorder="1" applyProtection="1"/>
    <xf numFmtId="171" fontId="9" fillId="0" borderId="0" xfId="0" applyNumberFormat="1" applyFont="1" applyBorder="1" applyProtection="1"/>
    <xf numFmtId="171" fontId="11" fillId="0" borderId="22" xfId="0" applyNumberFormat="1" applyFont="1" applyBorder="1" applyProtection="1"/>
    <xf numFmtId="171" fontId="10" fillId="0" borderId="8" xfId="0" applyNumberFormat="1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0" fontId="15" fillId="3" borderId="13" xfId="0" applyFont="1" applyFill="1" applyBorder="1" applyAlignment="1" applyProtection="1">
      <alignment horizontal="right"/>
    </xf>
    <xf numFmtId="171" fontId="10" fillId="0" borderId="8" xfId="0" applyNumberFormat="1" applyFont="1" applyBorder="1" applyProtection="1"/>
    <xf numFmtId="9" fontId="23" fillId="4" borderId="2" xfId="0" applyNumberFormat="1" applyFont="1" applyFill="1" applyBorder="1" applyProtection="1"/>
    <xf numFmtId="0" fontId="1" fillId="0" borderId="0" xfId="0" applyFont="1"/>
    <xf numFmtId="0" fontId="0" fillId="0" borderId="0" xfId="0" applyAlignment="1"/>
    <xf numFmtId="10" fontId="14" fillId="2" borderId="16" xfId="3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7" fillId="0" borderId="0" xfId="0" applyFont="1"/>
    <xf numFmtId="0" fontId="27" fillId="0" borderId="0" xfId="0" applyFont="1" applyAlignment="1">
      <alignment horizontal="center"/>
    </xf>
    <xf numFmtId="10" fontId="27" fillId="0" borderId="0" xfId="0" applyNumberFormat="1" applyFont="1" applyAlignment="1">
      <alignment horizontal="center"/>
    </xf>
    <xf numFmtId="172" fontId="27" fillId="0" borderId="0" xfId="0" applyNumberFormat="1" applyFont="1" applyAlignment="1">
      <alignment horizontal="center"/>
    </xf>
    <xf numFmtId="0" fontId="13" fillId="0" borderId="26" xfId="0" applyFont="1" applyBorder="1" applyAlignment="1" applyProtection="1">
      <alignment horizontal="right"/>
    </xf>
    <xf numFmtId="0" fontId="14" fillId="2" borderId="12" xfId="0" applyFont="1" applyFill="1" applyBorder="1" applyAlignment="1" applyProtection="1">
      <alignment horizontal="center"/>
    </xf>
    <xf numFmtId="3" fontId="24" fillId="0" borderId="8" xfId="0" applyNumberFormat="1" applyFont="1" applyBorder="1" applyAlignment="1" applyProtection="1">
      <alignment horizontal="center"/>
    </xf>
    <xf numFmtId="0" fontId="1" fillId="5" borderId="8" xfId="0" applyFont="1" applyFill="1" applyBorder="1"/>
    <xf numFmtId="0" fontId="0" fillId="5" borderId="8" xfId="0" applyFill="1" applyBorder="1"/>
    <xf numFmtId="2" fontId="0" fillId="5" borderId="8" xfId="0" applyNumberFormat="1" applyFill="1" applyBorder="1"/>
    <xf numFmtId="0" fontId="26" fillId="3" borderId="8" xfId="0" applyFont="1" applyFill="1" applyBorder="1"/>
    <xf numFmtId="0" fontId="18" fillId="6" borderId="8" xfId="0" applyFont="1" applyFill="1" applyBorder="1"/>
    <xf numFmtId="0" fontId="0" fillId="7" borderId="0" xfId="0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7" borderId="0" xfId="0" applyFill="1" applyAlignment="1"/>
    <xf numFmtId="0" fontId="28" fillId="4" borderId="8" xfId="0" applyFont="1" applyFill="1" applyBorder="1"/>
    <xf numFmtId="1" fontId="17" fillId="0" borderId="0" xfId="0" applyNumberFormat="1" applyFont="1" applyFill="1" applyBorder="1" applyAlignment="1">
      <alignment horizontal="center"/>
    </xf>
    <xf numFmtId="1" fontId="29" fillId="0" borderId="6" xfId="0" applyNumberFormat="1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0" fontId="27" fillId="0" borderId="8" xfId="0" applyFont="1" applyBorder="1"/>
    <xf numFmtId="0" fontId="27" fillId="0" borderId="8" xfId="0" applyFont="1" applyBorder="1" applyAlignment="1">
      <alignment horizontal="center"/>
    </xf>
    <xf numFmtId="168" fontId="9" fillId="0" borderId="8" xfId="0" applyNumberFormat="1" applyFont="1" applyBorder="1"/>
    <xf numFmtId="10" fontId="27" fillId="0" borderId="8" xfId="0" applyNumberFormat="1" applyFont="1" applyBorder="1" applyAlignment="1">
      <alignment horizontal="center"/>
    </xf>
    <xf numFmtId="172" fontId="27" fillId="0" borderId="8" xfId="0" applyNumberFormat="1" applyFont="1" applyBorder="1" applyAlignment="1">
      <alignment horizontal="center"/>
    </xf>
    <xf numFmtId="167" fontId="24" fillId="0" borderId="2" xfId="0" applyNumberFormat="1" applyFont="1" applyBorder="1" applyProtection="1"/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wrapText="1"/>
    </xf>
    <xf numFmtId="178" fontId="0" fillId="0" borderId="0" xfId="0" applyNumberFormat="1"/>
    <xf numFmtId="179" fontId="0" fillId="0" borderId="0" xfId="0" applyNumberFormat="1"/>
    <xf numFmtId="0" fontId="1" fillId="0" borderId="13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top" wrapText="1"/>
    </xf>
    <xf numFmtId="0" fontId="18" fillId="0" borderId="29" xfId="0" applyFont="1" applyBorder="1" applyAlignment="1" applyProtection="1">
      <alignment horizontal="center" vertical="top" wrapText="1"/>
    </xf>
    <xf numFmtId="0" fontId="18" fillId="0" borderId="30" xfId="0" applyFont="1" applyBorder="1" applyAlignment="1" applyProtection="1">
      <alignment horizontal="center" vertical="top" wrapText="1"/>
    </xf>
    <xf numFmtId="0" fontId="18" fillId="0" borderId="14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31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horizontal="center" vertical="top" wrapText="1"/>
    </xf>
    <xf numFmtId="0" fontId="18" fillId="0" borderId="32" xfId="0" applyFont="1" applyBorder="1" applyAlignment="1" applyProtection="1">
      <alignment horizontal="center" vertical="top" wrapText="1"/>
    </xf>
    <xf numFmtId="0" fontId="18" fillId="0" borderId="26" xfId="0" applyFont="1" applyBorder="1" applyAlignment="1" applyProtection="1">
      <alignment horizontal="center" vertical="top" wrapText="1"/>
    </xf>
    <xf numFmtId="0" fontId="10" fillId="3" borderId="21" xfId="0" applyFont="1" applyFill="1" applyBorder="1" applyAlignment="1" applyProtection="1">
      <alignment horizontal="center"/>
    </xf>
    <xf numFmtId="177" fontId="24" fillId="4" borderId="2" xfId="0" applyNumberFormat="1" applyFont="1" applyFill="1" applyBorder="1" applyAlignment="1" applyProtection="1">
      <alignment horizontal="center"/>
    </xf>
    <xf numFmtId="177" fontId="24" fillId="4" borderId="0" xfId="0" applyNumberFormat="1" applyFont="1" applyFill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169" fontId="11" fillId="4" borderId="10" xfId="0" applyNumberFormat="1" applyFont="1" applyFill="1" applyBorder="1" applyAlignment="1" applyProtection="1">
      <alignment horizontal="center"/>
    </xf>
    <xf numFmtId="169" fontId="11" fillId="4" borderId="11" xfId="0" applyNumberFormat="1" applyFont="1" applyFill="1" applyBorder="1" applyAlignment="1" applyProtection="1">
      <alignment horizontal="center"/>
    </xf>
    <xf numFmtId="169" fontId="11" fillId="4" borderId="25" xfId="0" applyNumberFormat="1" applyFont="1" applyFill="1" applyBorder="1" applyAlignment="1" applyProtection="1">
      <alignment horizontal="center"/>
    </xf>
    <xf numFmtId="169" fontId="24" fillId="4" borderId="10" xfId="0" applyNumberFormat="1" applyFont="1" applyFill="1" applyBorder="1" applyAlignment="1" applyProtection="1">
      <alignment horizontal="center"/>
    </xf>
    <xf numFmtId="169" fontId="24" fillId="4" borderId="11" xfId="0" applyNumberFormat="1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10" fillId="3" borderId="24" xfId="0" applyFont="1" applyFill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 textRotation="91" wrapText="1"/>
    </xf>
    <xf numFmtId="0" fontId="10" fillId="0" borderId="19" xfId="0" applyFont="1" applyBorder="1" applyAlignment="1" applyProtection="1">
      <alignment horizontal="center" vertical="center" textRotation="91" wrapText="1"/>
    </xf>
    <xf numFmtId="0" fontId="0" fillId="0" borderId="0" xfId="0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5" borderId="8" xfId="0" applyFont="1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7" borderId="0" xfId="0" applyFill="1" applyAlignment="1">
      <alignment horizontal="center"/>
    </xf>
    <xf numFmtId="0" fontId="0" fillId="7" borderId="2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22" fillId="0" borderId="0" xfId="0" applyFont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70"/>
  <sheetViews>
    <sheetView showGridLines="0" tabSelected="1" zoomScale="85" zoomScaleNormal="85" workbookViewId="0">
      <selection sqref="A1:D2"/>
    </sheetView>
  </sheetViews>
  <sheetFormatPr defaultRowHeight="12.75" x14ac:dyDescent="0.2"/>
  <cols>
    <col min="1" max="1" width="58.7109375" style="3" bestFit="1" customWidth="1"/>
    <col min="2" max="2" width="12.140625" style="3" customWidth="1"/>
    <col min="3" max="3" width="13.85546875" style="3" customWidth="1"/>
    <col min="4" max="4" width="12.85546875" style="3" customWidth="1"/>
    <col min="5" max="5" width="14.5703125" style="3" customWidth="1"/>
    <col min="6" max="6" width="21" style="3" bestFit="1" customWidth="1"/>
    <col min="7" max="7" width="16.42578125" style="3" bestFit="1" customWidth="1"/>
    <col min="8" max="8" width="14" style="3" bestFit="1" customWidth="1"/>
    <col min="9" max="12" width="9.140625" style="3" customWidth="1"/>
    <col min="13" max="13" width="9.7109375" style="3" bestFit="1" customWidth="1"/>
    <col min="14" max="21" width="9.140625" style="3" customWidth="1"/>
    <col min="22" max="16384" width="9.140625" style="3"/>
  </cols>
  <sheetData>
    <row r="1" spans="1:18" ht="15.75" customHeight="1" x14ac:dyDescent="0.25">
      <c r="A1" s="131" t="s">
        <v>43</v>
      </c>
      <c r="B1" s="131"/>
      <c r="C1" s="131"/>
      <c r="D1" s="131"/>
      <c r="E1" s="69" t="s">
        <v>52</v>
      </c>
      <c r="F1" s="69" t="s">
        <v>53</v>
      </c>
      <c r="G1" s="69" t="s">
        <v>54</v>
      </c>
      <c r="J1" s="4"/>
      <c r="K1" s="5"/>
      <c r="L1" s="5"/>
      <c r="M1" s="5"/>
      <c r="N1" s="5"/>
      <c r="O1" s="5"/>
      <c r="P1" s="5"/>
      <c r="Q1" s="4"/>
    </row>
    <row r="2" spans="1:18" ht="18" x14ac:dyDescent="0.25">
      <c r="A2" s="131"/>
      <c r="B2" s="131"/>
      <c r="C2" s="131"/>
      <c r="D2" s="131"/>
      <c r="E2" s="68">
        <f>MIN(F8:H10,F17:H19)</f>
        <v>18398.364199525586</v>
      </c>
      <c r="F2" s="86">
        <f>B23</f>
        <v>30147.264415137608</v>
      </c>
      <c r="G2" s="68">
        <f>MAX(F8:H10,F17:H19)</f>
        <v>41896.164630749656</v>
      </c>
      <c r="K2" s="4"/>
      <c r="L2" s="1" t="s">
        <v>9</v>
      </c>
      <c r="M2" s="2"/>
      <c r="N2" s="2"/>
      <c r="O2" s="2"/>
      <c r="P2" s="2"/>
      <c r="Q2" s="5"/>
      <c r="R2" s="4"/>
    </row>
    <row r="3" spans="1:18" ht="18.75" thickBot="1" x14ac:dyDescent="0.3">
      <c r="A3" s="84" t="s">
        <v>81</v>
      </c>
      <c r="B3" s="85" t="s">
        <v>22</v>
      </c>
      <c r="C3" s="6"/>
      <c r="D3" s="167" t="s">
        <v>49</v>
      </c>
      <c r="E3" s="167"/>
      <c r="F3" s="167"/>
      <c r="G3" s="167"/>
      <c r="H3" s="167"/>
      <c r="K3" s="4"/>
      <c r="L3" s="5"/>
      <c r="M3" s="5"/>
      <c r="N3" s="5"/>
      <c r="O3" s="5" t="s">
        <v>1</v>
      </c>
      <c r="P3" s="5"/>
      <c r="Q3" s="5"/>
      <c r="R3" s="4"/>
    </row>
    <row r="4" spans="1:18" ht="18.75" thickBot="1" x14ac:dyDescent="0.3">
      <c r="A4" s="24"/>
      <c r="B4" s="23" t="s">
        <v>23</v>
      </c>
      <c r="D4" s="167"/>
      <c r="E4" s="167"/>
      <c r="F4" s="167"/>
      <c r="G4" s="167"/>
      <c r="H4" s="167"/>
      <c r="K4" s="4"/>
      <c r="L4" s="7"/>
      <c r="M4" s="27"/>
      <c r="N4" s="28">
        <v>-0.1</v>
      </c>
      <c r="O4" s="29">
        <v>0</v>
      </c>
      <c r="P4" s="28">
        <v>0.1</v>
      </c>
      <c r="Q4" s="30"/>
      <c r="R4" s="4"/>
    </row>
    <row r="5" spans="1:18" ht="18.75" thickBot="1" x14ac:dyDescent="0.3">
      <c r="A5" s="72" t="s">
        <v>12</v>
      </c>
      <c r="B5" s="44">
        <v>7000</v>
      </c>
      <c r="D5" s="141" t="s">
        <v>47</v>
      </c>
      <c r="E5" s="142"/>
      <c r="F5" s="142"/>
      <c r="G5" s="138">
        <v>0.05</v>
      </c>
      <c r="H5" s="137"/>
      <c r="K5" s="4"/>
      <c r="L5" s="7"/>
      <c r="M5" s="28">
        <v>-0.1</v>
      </c>
      <c r="N5" s="37">
        <f>($B$5*(1+N$4)/100)*$B$6+$B$7*(1+N$4)*12/$B$15-($B$10+$B$11+$B$12)*(1+$M5)/100*$B$5</f>
        <v>2823.4581072527471</v>
      </c>
      <c r="O5" s="37">
        <f t="shared" ref="O5:P7" si="0">$B$5*(1+O$4)/100*$B$6+$B$7*(1+O$4)*12/$B$15-($B$10+$B$11+$B$12)*(1+$M5)/100*$B$5</f>
        <v>3213.2152501098899</v>
      </c>
      <c r="P5" s="37">
        <f t="shared" si="0"/>
        <v>3602.9723929670336</v>
      </c>
      <c r="Q5" s="30"/>
      <c r="R5" s="4"/>
    </row>
    <row r="6" spans="1:18" ht="18" x14ac:dyDescent="0.25">
      <c r="A6" s="70" t="s">
        <v>56</v>
      </c>
      <c r="B6" s="54">
        <v>6.7</v>
      </c>
      <c r="C6" s="145"/>
      <c r="D6" s="145"/>
      <c r="E6" s="61"/>
      <c r="F6" s="62"/>
      <c r="G6" s="63" t="s">
        <v>44</v>
      </c>
      <c r="H6" s="64"/>
      <c r="K6" s="4"/>
      <c r="L6" s="7" t="s">
        <v>2</v>
      </c>
      <c r="M6" s="29">
        <v>0</v>
      </c>
      <c r="N6" s="37">
        <f>$B$5*(1+N$4)/100*$B$6+$B$7*(1+N$4)*12/$B$15-($B$10+$B$11+$B$12)*(1+$M6)/100*$B$5</f>
        <v>2747.4185318681316</v>
      </c>
      <c r="O6" s="37">
        <f t="shared" si="0"/>
        <v>3137.1756747252743</v>
      </c>
      <c r="P6" s="37">
        <f t="shared" si="0"/>
        <v>3526.932817582418</v>
      </c>
      <c r="Q6" s="30"/>
      <c r="R6" s="4"/>
    </row>
    <row r="7" spans="1:18" ht="18" x14ac:dyDescent="0.25">
      <c r="A7" s="70" t="s">
        <v>10</v>
      </c>
      <c r="B7" s="45">
        <v>4000</v>
      </c>
      <c r="E7" s="17"/>
      <c r="F7" s="55">
        <f>G5*-1</f>
        <v>-0.05</v>
      </c>
      <c r="G7" s="52">
        <v>0</v>
      </c>
      <c r="H7" s="53">
        <f>G5</f>
        <v>0.05</v>
      </c>
      <c r="K7" s="4"/>
      <c r="L7" s="7"/>
      <c r="M7" s="28">
        <v>0.1</v>
      </c>
      <c r="N7" s="37">
        <f>$B$5*(1+N$4)/100*$B$6+$B$7*(1+N$4)*12/$B$15-($B$10+$B$11+$B$12)*(1+$M7)/100*$B$5</f>
        <v>2671.378956483516</v>
      </c>
      <c r="O7" s="37">
        <f t="shared" si="0"/>
        <v>3061.1360993406588</v>
      </c>
      <c r="P7" s="37">
        <f t="shared" si="0"/>
        <v>3450.8932421978025</v>
      </c>
      <c r="Q7" s="30"/>
      <c r="R7" s="4"/>
    </row>
    <row r="8" spans="1:18" ht="18" x14ac:dyDescent="0.25">
      <c r="A8" s="70" t="s">
        <v>16</v>
      </c>
      <c r="B8" s="45">
        <v>18000</v>
      </c>
      <c r="D8" s="143" t="s">
        <v>45</v>
      </c>
      <c r="E8" s="56">
        <f>G11*-1</f>
        <v>-0.05</v>
      </c>
      <c r="F8" s="40">
        <f t="shared" ref="F8:H10" si="1">PV($B$16,$B$14,-($B$5*(1+F$7)*$B$6+$B$7*(1+F$7)*12/$B$15-($B$12)*(1+$E8)*$B$5)/12,0,0)+PV($B$16,$B$14,0,-$B$8,0)</f>
        <v>29268.933649045277</v>
      </c>
      <c r="G8" s="40">
        <f t="shared" si="1"/>
        <v>35582.54913989747</v>
      </c>
      <c r="H8" s="40">
        <f t="shared" si="1"/>
        <v>41896.164630749656</v>
      </c>
      <c r="K8" s="4"/>
      <c r="L8" s="7"/>
      <c r="Q8" s="30"/>
      <c r="R8" s="4"/>
    </row>
    <row r="9" spans="1:18" ht="18" x14ac:dyDescent="0.25">
      <c r="A9" s="42" t="s">
        <v>13</v>
      </c>
      <c r="B9" s="46">
        <f>B5*B6+B7*12/B15</f>
        <v>50328.571428571428</v>
      </c>
      <c r="D9" s="144"/>
      <c r="E9" s="74">
        <v>0</v>
      </c>
      <c r="F9" s="40">
        <f t="shared" si="1"/>
        <v>23833.648924285422</v>
      </c>
      <c r="G9" s="73">
        <f t="shared" si="1"/>
        <v>30147.264415137608</v>
      </c>
      <c r="H9" s="40">
        <f t="shared" si="1"/>
        <v>36460.879905989801</v>
      </c>
      <c r="K9" s="4"/>
      <c r="L9" s="7"/>
      <c r="M9" s="31"/>
      <c r="N9" s="31"/>
      <c r="O9" s="31"/>
      <c r="P9" s="31"/>
      <c r="Q9" s="7"/>
      <c r="R9" s="4"/>
    </row>
    <row r="10" spans="1:18" ht="18.75" thickBot="1" x14ac:dyDescent="0.3">
      <c r="A10" s="70" t="s">
        <v>57</v>
      </c>
      <c r="B10" s="54">
        <f>rasyon!F21</f>
        <v>4.0232228571428577</v>
      </c>
      <c r="D10" s="144"/>
      <c r="E10" s="18">
        <f>G11*1</f>
        <v>0.05</v>
      </c>
      <c r="F10" s="57">
        <f t="shared" si="1"/>
        <v>18398.364199525586</v>
      </c>
      <c r="G10" s="57">
        <f t="shared" si="1"/>
        <v>24711.979690377775</v>
      </c>
      <c r="H10" s="57">
        <f t="shared" si="1"/>
        <v>31025.595181229965</v>
      </c>
      <c r="K10" s="4"/>
      <c r="L10" s="7"/>
      <c r="M10" s="31"/>
      <c r="N10" s="31"/>
      <c r="O10" s="31"/>
      <c r="P10" s="31"/>
      <c r="Q10" s="7"/>
      <c r="R10" s="4"/>
    </row>
    <row r="11" spans="1:18" ht="18.75" thickBot="1" x14ac:dyDescent="0.3">
      <c r="A11" s="70" t="s">
        <v>55</v>
      </c>
      <c r="B11" s="54">
        <v>0.65</v>
      </c>
      <c r="D11" s="132" t="s">
        <v>48</v>
      </c>
      <c r="E11" s="133"/>
      <c r="F11" s="133"/>
      <c r="G11" s="139">
        <v>0.05</v>
      </c>
      <c r="H11" s="140"/>
      <c r="I11" s="7"/>
      <c r="K11" s="4"/>
      <c r="L11" s="7"/>
      <c r="M11" s="31"/>
      <c r="N11" s="31"/>
      <c r="O11" s="31"/>
      <c r="P11" s="31"/>
      <c r="Q11" s="7"/>
      <c r="R11" s="4"/>
    </row>
    <row r="12" spans="1:18" ht="18" x14ac:dyDescent="0.25">
      <c r="A12" s="70" t="s">
        <v>46</v>
      </c>
      <c r="B12" s="58">
        <f>B10/B11</f>
        <v>6.189573626373627</v>
      </c>
      <c r="D12" s="14"/>
      <c r="E12" s="14"/>
      <c r="F12" s="22"/>
      <c r="G12" s="22"/>
      <c r="H12" s="22"/>
      <c r="I12" s="7"/>
      <c r="K12" s="4"/>
      <c r="L12" s="32" t="s">
        <v>39</v>
      </c>
      <c r="M12" s="33"/>
      <c r="N12" s="33"/>
      <c r="O12" s="33"/>
      <c r="P12" s="33"/>
      <c r="Q12" s="7"/>
      <c r="R12" s="4"/>
    </row>
    <row r="13" spans="1:18" ht="18.75" thickBot="1" x14ac:dyDescent="0.3">
      <c r="A13" s="70" t="s">
        <v>15</v>
      </c>
      <c r="B13" s="77">
        <v>0.12</v>
      </c>
      <c r="D13" s="15" t="s">
        <v>58</v>
      </c>
      <c r="E13" s="14"/>
      <c r="F13" s="22"/>
      <c r="G13" s="22"/>
      <c r="H13" s="22"/>
      <c r="I13" s="7"/>
      <c r="K13" s="4"/>
      <c r="L13" s="7"/>
      <c r="M13" s="31"/>
      <c r="N13" s="31"/>
      <c r="O13" s="31" t="s">
        <v>0</v>
      </c>
      <c r="P13" s="31"/>
      <c r="Q13" s="30"/>
      <c r="R13" s="4"/>
    </row>
    <row r="14" spans="1:18" ht="18.75" thickBot="1" x14ac:dyDescent="0.3">
      <c r="A14" s="70" t="s">
        <v>38</v>
      </c>
      <c r="B14" s="49">
        <v>36</v>
      </c>
      <c r="D14" s="134" t="s">
        <v>50</v>
      </c>
      <c r="E14" s="135"/>
      <c r="F14" s="135"/>
      <c r="G14" s="136">
        <v>0.05</v>
      </c>
      <c r="H14" s="137"/>
      <c r="I14" s="7"/>
      <c r="K14" s="4"/>
      <c r="L14" s="7"/>
      <c r="M14" s="27"/>
      <c r="N14" s="38">
        <f>F16</f>
        <v>6.3650000000000002</v>
      </c>
      <c r="O14" s="38">
        <f t="shared" ref="O14:P14" si="2">G16</f>
        <v>6.7</v>
      </c>
      <c r="P14" s="38">
        <f t="shared" si="2"/>
        <v>7.0350000000000001</v>
      </c>
      <c r="Q14" s="30"/>
      <c r="R14" s="4"/>
    </row>
    <row r="15" spans="1:18" ht="18" x14ac:dyDescent="0.25">
      <c r="A15" s="71" t="s">
        <v>11</v>
      </c>
      <c r="B15" s="59">
        <v>14</v>
      </c>
      <c r="D15" s="16"/>
      <c r="E15" s="61"/>
      <c r="F15" s="65"/>
      <c r="G15" s="66" t="s">
        <v>69</v>
      </c>
      <c r="H15" s="67"/>
      <c r="I15" s="7"/>
      <c r="K15" s="4"/>
      <c r="L15" s="7"/>
      <c r="M15" s="34">
        <f>E17</f>
        <v>6250</v>
      </c>
      <c r="N15" s="37">
        <f t="shared" ref="N15:P17" si="3">$M15/100*N$14+$B$7*12/$B$15-($B$10+$B$11+$B$12)*$M15/100</f>
        <v>3147.4591483516479</v>
      </c>
      <c r="O15" s="37">
        <f t="shared" si="3"/>
        <v>3168.3966483516479</v>
      </c>
      <c r="P15" s="37">
        <f t="shared" si="3"/>
        <v>3189.3341483516479</v>
      </c>
      <c r="Q15" s="30"/>
      <c r="R15" s="4"/>
    </row>
    <row r="16" spans="1:18" ht="18" x14ac:dyDescent="0.25">
      <c r="A16" s="41" t="s">
        <v>40</v>
      </c>
      <c r="B16" s="47">
        <f>B13/12</f>
        <v>0.01</v>
      </c>
      <c r="D16" s="16"/>
      <c r="E16" s="17"/>
      <c r="F16" s="60">
        <f>G16*(1-G14)</f>
        <v>6.3650000000000002</v>
      </c>
      <c r="G16" s="60">
        <f>B6</f>
        <v>6.7</v>
      </c>
      <c r="H16" s="39">
        <f>G16*(1+G14)</f>
        <v>7.0350000000000001</v>
      </c>
      <c r="I16" s="7"/>
      <c r="K16" s="4"/>
      <c r="L16" s="7" t="s">
        <v>8</v>
      </c>
      <c r="M16" s="34">
        <f t="shared" ref="M16:M17" si="4">E18</f>
        <v>7000</v>
      </c>
      <c r="N16" s="37">
        <f t="shared" si="3"/>
        <v>3113.7256747252745</v>
      </c>
      <c r="O16" s="37">
        <f t="shared" si="3"/>
        <v>3137.1756747252743</v>
      </c>
      <c r="P16" s="37">
        <f t="shared" si="3"/>
        <v>3160.6256747252742</v>
      </c>
      <c r="Q16" s="30"/>
      <c r="R16" s="4"/>
    </row>
    <row r="17" spans="1:18" ht="18" x14ac:dyDescent="0.25">
      <c r="A17" s="42" t="s">
        <v>20</v>
      </c>
      <c r="B17" s="46">
        <f>(B12)*B5</f>
        <v>43327.015384615392</v>
      </c>
      <c r="D17" s="16"/>
      <c r="E17" s="20">
        <f>E18-G20</f>
        <v>6250</v>
      </c>
      <c r="F17" s="40">
        <f t="shared" ref="F17:H19" si="5">PV($B$16,$B$14,-($E17*F$16+$B$7*12/$B$15-($B$12)*$E17)/12,0,0)+PV($B$16,$B$14,0,-$B$8,0)</f>
        <v>23933.652987376965</v>
      </c>
      <c r="G17" s="40">
        <f t="shared" si="5"/>
        <v>29186.78537669302</v>
      </c>
      <c r="H17" s="40">
        <f t="shared" si="5"/>
        <v>34439.917766009079</v>
      </c>
      <c r="I17" s="7"/>
      <c r="J17" s="7"/>
      <c r="K17" s="4"/>
      <c r="L17" s="7"/>
      <c r="M17" s="34">
        <f t="shared" si="4"/>
        <v>7750</v>
      </c>
      <c r="N17" s="37">
        <f t="shared" si="3"/>
        <v>3079.9922010989008</v>
      </c>
      <c r="O17" s="37">
        <f t="shared" si="3"/>
        <v>3105.9547010989008</v>
      </c>
      <c r="P17" s="37">
        <f t="shared" si="3"/>
        <v>3131.9172010989009</v>
      </c>
      <c r="Q17" s="7"/>
      <c r="R17" s="4"/>
    </row>
    <row r="18" spans="1:18" ht="18" x14ac:dyDescent="0.25">
      <c r="A18" s="42" t="s">
        <v>14</v>
      </c>
      <c r="B18" s="48">
        <f>B9-B17</f>
        <v>7001.5560439560359</v>
      </c>
      <c r="D18" s="16" t="s">
        <v>21</v>
      </c>
      <c r="E18" s="105">
        <f>B5</f>
        <v>7000</v>
      </c>
      <c r="F18" s="40">
        <f t="shared" si="5"/>
        <v>24263.756139103625</v>
      </c>
      <c r="G18" s="73">
        <f t="shared" si="5"/>
        <v>30147.264415137608</v>
      </c>
      <c r="H18" s="40">
        <f t="shared" si="5"/>
        <v>36030.772691171602</v>
      </c>
      <c r="I18" s="8"/>
      <c r="J18" s="8"/>
      <c r="K18" s="4"/>
      <c r="L18" s="7"/>
      <c r="M18" s="35"/>
      <c r="N18" s="36"/>
      <c r="O18" s="36"/>
      <c r="P18" s="36"/>
      <c r="Q18" s="7"/>
      <c r="R18" s="4"/>
    </row>
    <row r="19" spans="1:18" ht="18" x14ac:dyDescent="0.25">
      <c r="A19" s="42" t="s">
        <v>19</v>
      </c>
      <c r="B19" s="48">
        <f>B18/12</f>
        <v>583.46300366300295</v>
      </c>
      <c r="D19" s="19"/>
      <c r="E19" s="21">
        <f>E18+G20</f>
        <v>7750</v>
      </c>
      <c r="F19" s="40">
        <f t="shared" si="5"/>
        <v>24593.859290830304</v>
      </c>
      <c r="G19" s="40">
        <f t="shared" si="5"/>
        <v>31107.743453582221</v>
      </c>
      <c r="H19" s="40">
        <f t="shared" si="5"/>
        <v>37621.627616334139</v>
      </c>
      <c r="J19" s="8"/>
      <c r="K19" s="4"/>
      <c r="L19" s="4"/>
      <c r="M19" s="4"/>
      <c r="N19" s="4"/>
      <c r="O19" s="4"/>
      <c r="P19" s="4"/>
      <c r="Q19" s="4"/>
      <c r="R19" s="4"/>
    </row>
    <row r="20" spans="1:18" ht="18.75" thickBot="1" x14ac:dyDescent="0.3">
      <c r="A20" s="41" t="s">
        <v>41</v>
      </c>
      <c r="B20" s="51">
        <f>12/B14</f>
        <v>0.33333333333333331</v>
      </c>
      <c r="D20" s="128" t="s">
        <v>51</v>
      </c>
      <c r="E20" s="128"/>
      <c r="F20" s="128"/>
      <c r="G20" s="129">
        <v>750</v>
      </c>
      <c r="H20" s="130"/>
      <c r="K20" s="4"/>
      <c r="L20" s="4"/>
      <c r="M20" s="4"/>
      <c r="N20" s="4"/>
      <c r="O20" s="4"/>
      <c r="P20" s="4"/>
      <c r="Q20" s="4"/>
      <c r="R20" s="4"/>
    </row>
    <row r="21" spans="1:18" ht="18" x14ac:dyDescent="0.25">
      <c r="A21" s="42" t="s">
        <v>18</v>
      </c>
      <c r="B21" s="46">
        <f>PV(B16,B14,-B18/12,0)</f>
        <v>17566.615321846952</v>
      </c>
      <c r="D21" s="110" t="s">
        <v>83</v>
      </c>
      <c r="E21" s="111"/>
      <c r="F21" s="111"/>
      <c r="G21" s="111"/>
      <c r="H21" s="112"/>
    </row>
    <row r="22" spans="1:18" ht="18" x14ac:dyDescent="0.25">
      <c r="A22" s="42" t="s">
        <v>42</v>
      </c>
      <c r="B22" s="46">
        <f>PV(B16,B14,0,-B8,0)</f>
        <v>12580.649093290656</v>
      </c>
      <c r="D22" s="113"/>
      <c r="E22" s="114"/>
      <c r="F22" s="114"/>
      <c r="G22" s="114"/>
      <c r="H22" s="115"/>
    </row>
    <row r="23" spans="1:18" ht="18.75" thickBot="1" x14ac:dyDescent="0.3">
      <c r="A23" s="43" t="s">
        <v>17</v>
      </c>
      <c r="B23" s="50">
        <f>B21+B22</f>
        <v>30147.264415137608</v>
      </c>
      <c r="D23" s="116"/>
      <c r="E23" s="117"/>
      <c r="F23" s="117"/>
      <c r="G23" s="117"/>
      <c r="H23" s="118"/>
    </row>
    <row r="24" spans="1:18" ht="13.5" thickBot="1" x14ac:dyDescent="0.25"/>
    <row r="25" spans="1:18" ht="12.75" customHeight="1" x14ac:dyDescent="0.2">
      <c r="A25" s="119" t="s">
        <v>84</v>
      </c>
      <c r="B25" s="120"/>
      <c r="C25" s="120"/>
      <c r="D25" s="120"/>
      <c r="E25" s="120"/>
      <c r="F25" s="120"/>
      <c r="G25" s="120"/>
      <c r="H25" s="121"/>
    </row>
    <row r="26" spans="1:18" ht="18" customHeight="1" x14ac:dyDescent="0.2">
      <c r="A26" s="122"/>
      <c r="B26" s="123"/>
      <c r="C26" s="123"/>
      <c r="D26" s="123"/>
      <c r="E26" s="123"/>
      <c r="F26" s="123"/>
      <c r="G26" s="123"/>
      <c r="H26" s="124"/>
      <c r="J26" s="8"/>
    </row>
    <row r="27" spans="1:18" x14ac:dyDescent="0.2">
      <c r="A27" s="122"/>
      <c r="B27" s="123"/>
      <c r="C27" s="123"/>
      <c r="D27" s="123"/>
      <c r="E27" s="123"/>
      <c r="F27" s="123"/>
      <c r="G27" s="123"/>
      <c r="H27" s="124"/>
    </row>
    <row r="28" spans="1:18" x14ac:dyDescent="0.2">
      <c r="A28" s="122"/>
      <c r="B28" s="123"/>
      <c r="C28" s="123"/>
      <c r="D28" s="123"/>
      <c r="E28" s="123"/>
      <c r="F28" s="123"/>
      <c r="G28" s="123"/>
      <c r="H28" s="124"/>
    </row>
    <row r="29" spans="1:18" x14ac:dyDescent="0.2">
      <c r="A29" s="122"/>
      <c r="B29" s="123"/>
      <c r="C29" s="123"/>
      <c r="D29" s="123"/>
      <c r="E29" s="123"/>
      <c r="F29" s="123"/>
      <c r="G29" s="123"/>
      <c r="H29" s="124"/>
    </row>
    <row r="30" spans="1:18" ht="13.5" thickBot="1" x14ac:dyDescent="0.25">
      <c r="A30" s="125"/>
      <c r="B30" s="126"/>
      <c r="C30" s="126"/>
      <c r="D30" s="126"/>
      <c r="E30" s="126"/>
      <c r="F30" s="126"/>
      <c r="G30" s="126"/>
      <c r="H30" s="127"/>
    </row>
    <row r="31" spans="1:18" x14ac:dyDescent="0.2">
      <c r="A31" s="106"/>
      <c r="B31" s="106"/>
      <c r="C31" s="106"/>
      <c r="D31" s="106"/>
      <c r="E31" s="106"/>
      <c r="F31" s="106"/>
      <c r="G31" s="106"/>
      <c r="H31" s="106"/>
    </row>
    <row r="32" spans="1:18" x14ac:dyDescent="0.2">
      <c r="A32" s="106"/>
      <c r="B32" s="106"/>
      <c r="C32" s="106"/>
      <c r="D32" s="106"/>
      <c r="E32" s="106"/>
      <c r="F32" s="106"/>
      <c r="G32" s="106"/>
      <c r="H32" s="106"/>
    </row>
    <row r="33" spans="1:8" x14ac:dyDescent="0.2">
      <c r="A33" s="107"/>
      <c r="B33" s="107"/>
      <c r="C33" s="107"/>
      <c r="D33" s="107"/>
      <c r="E33" s="107"/>
      <c r="F33" s="107"/>
      <c r="G33" s="107"/>
      <c r="H33" s="107"/>
    </row>
    <row r="34" spans="1:8" x14ac:dyDescent="0.2">
      <c r="A34" s="107"/>
      <c r="B34" s="107"/>
      <c r="C34" s="107"/>
      <c r="D34" s="107"/>
      <c r="E34" s="107"/>
      <c r="F34" s="107"/>
      <c r="G34" s="107"/>
      <c r="H34" s="107"/>
    </row>
    <row r="35" spans="1:8" x14ac:dyDescent="0.2">
      <c r="A35" s="107"/>
      <c r="B35" s="107"/>
      <c r="C35" s="107"/>
      <c r="D35" s="107"/>
      <c r="E35" s="107"/>
      <c r="F35" s="107"/>
      <c r="G35" s="107"/>
      <c r="H35" s="107"/>
    </row>
    <row r="36" spans="1:8" x14ac:dyDescent="0.2">
      <c r="A36" s="107"/>
      <c r="B36" s="107"/>
      <c r="C36" s="107"/>
      <c r="D36" s="107"/>
      <c r="E36" s="107"/>
      <c r="F36" s="107"/>
      <c r="G36" s="107"/>
      <c r="H36" s="107"/>
    </row>
    <row r="37" spans="1:8" x14ac:dyDescent="0.2">
      <c r="A37" s="107"/>
      <c r="B37" s="107"/>
      <c r="C37" s="107"/>
      <c r="D37" s="107"/>
      <c r="E37" s="107"/>
      <c r="F37" s="107"/>
      <c r="G37" s="107"/>
      <c r="H37" s="107"/>
    </row>
    <row r="38" spans="1:8" x14ac:dyDescent="0.2">
      <c r="A38" s="107"/>
      <c r="B38" s="107"/>
      <c r="C38" s="107"/>
      <c r="D38" s="107"/>
      <c r="E38" s="107"/>
      <c r="F38" s="107"/>
      <c r="G38" s="107"/>
      <c r="H38" s="107"/>
    </row>
    <row r="39" spans="1:8" x14ac:dyDescent="0.2">
      <c r="A39" s="107"/>
      <c r="B39" s="107"/>
      <c r="C39" s="107"/>
      <c r="D39" s="107"/>
      <c r="E39" s="107"/>
      <c r="F39" s="107"/>
      <c r="G39" s="107"/>
      <c r="H39" s="107"/>
    </row>
    <row r="40" spans="1:8" x14ac:dyDescent="0.2">
      <c r="B40" s="12"/>
    </row>
    <row r="41" spans="1:8" x14ac:dyDescent="0.2">
      <c r="B41" s="12"/>
    </row>
    <row r="42" spans="1:8" x14ac:dyDescent="0.2">
      <c r="B42" s="12"/>
    </row>
    <row r="43" spans="1:8" x14ac:dyDescent="0.2">
      <c r="B43" s="12"/>
    </row>
    <row r="44" spans="1:8" x14ac:dyDescent="0.2">
      <c r="B44" s="12"/>
    </row>
    <row r="45" spans="1:8" x14ac:dyDescent="0.2">
      <c r="B45" s="12"/>
      <c r="C45" s="9"/>
      <c r="D45" s="9"/>
      <c r="E45" s="10"/>
      <c r="F45" s="11"/>
      <c r="G45" s="11"/>
    </row>
    <row r="46" spans="1:8" x14ac:dyDescent="0.2">
      <c r="B46" s="12"/>
      <c r="C46" s="9"/>
      <c r="D46" s="9"/>
      <c r="E46" s="10"/>
      <c r="F46" s="11"/>
      <c r="G46" s="11"/>
    </row>
    <row r="47" spans="1:8" x14ac:dyDescent="0.2">
      <c r="B47" s="12"/>
      <c r="C47" s="9"/>
      <c r="D47" s="9"/>
      <c r="E47" s="10"/>
      <c r="F47" s="11"/>
      <c r="G47" s="11"/>
    </row>
    <row r="48" spans="1:8" x14ac:dyDescent="0.2">
      <c r="B48" s="12"/>
      <c r="C48" s="9"/>
      <c r="D48" s="9"/>
      <c r="E48" s="10"/>
      <c r="F48" s="11"/>
      <c r="G48" s="11"/>
    </row>
    <row r="49" spans="2:7" x14ac:dyDescent="0.2">
      <c r="B49" s="12"/>
      <c r="C49" s="9"/>
      <c r="D49" s="9"/>
      <c r="E49" s="10"/>
      <c r="F49" s="11"/>
      <c r="G49" s="11"/>
    </row>
    <row r="50" spans="2:7" x14ac:dyDescent="0.2">
      <c r="B50" s="12"/>
      <c r="C50" s="9"/>
      <c r="D50" s="9"/>
      <c r="E50" s="10"/>
      <c r="F50" s="11"/>
      <c r="G50" s="11"/>
    </row>
    <row r="51" spans="2:7" x14ac:dyDescent="0.2">
      <c r="B51" s="12"/>
      <c r="C51" s="9"/>
      <c r="D51" s="9"/>
      <c r="E51" s="10"/>
      <c r="F51" s="11"/>
      <c r="G51" s="11"/>
    </row>
    <row r="52" spans="2:7" x14ac:dyDescent="0.2">
      <c r="B52" s="12"/>
      <c r="C52" s="9"/>
      <c r="D52" s="9"/>
      <c r="E52" s="10"/>
      <c r="F52" s="11"/>
      <c r="G52" s="11"/>
    </row>
    <row r="53" spans="2:7" x14ac:dyDescent="0.2">
      <c r="B53" s="12"/>
      <c r="C53" s="9"/>
      <c r="D53" s="9"/>
      <c r="E53" s="10"/>
      <c r="F53" s="11"/>
      <c r="G53" s="11"/>
    </row>
    <row r="54" spans="2:7" x14ac:dyDescent="0.2">
      <c r="B54" s="12"/>
      <c r="C54" s="9"/>
      <c r="D54" s="9"/>
      <c r="E54" s="10"/>
      <c r="F54" s="11"/>
      <c r="G54" s="11"/>
    </row>
    <row r="55" spans="2:7" x14ac:dyDescent="0.2">
      <c r="B55" s="12"/>
      <c r="C55" s="9"/>
      <c r="D55" s="9"/>
      <c r="E55" s="10"/>
      <c r="F55" s="11"/>
      <c r="G55" s="11"/>
    </row>
    <row r="56" spans="2:7" x14ac:dyDescent="0.2">
      <c r="B56" s="12"/>
      <c r="C56" s="9"/>
      <c r="D56" s="9"/>
      <c r="E56" s="10"/>
      <c r="F56" s="11"/>
      <c r="G56" s="11"/>
    </row>
    <row r="57" spans="2:7" x14ac:dyDescent="0.2">
      <c r="B57" s="12"/>
      <c r="C57" s="9"/>
      <c r="D57" s="9"/>
      <c r="E57" s="10"/>
      <c r="F57" s="11"/>
      <c r="G57" s="11"/>
    </row>
    <row r="58" spans="2:7" x14ac:dyDescent="0.2">
      <c r="B58" s="12"/>
      <c r="C58" s="9"/>
      <c r="D58" s="9"/>
      <c r="E58" s="10"/>
      <c r="F58" s="11"/>
      <c r="G58" s="11"/>
    </row>
    <row r="59" spans="2:7" x14ac:dyDescent="0.2">
      <c r="B59" s="12"/>
      <c r="C59" s="9"/>
      <c r="D59" s="9"/>
      <c r="E59" s="10"/>
      <c r="F59" s="11"/>
      <c r="G59" s="11"/>
    </row>
    <row r="60" spans="2:7" x14ac:dyDescent="0.2">
      <c r="B60" s="12"/>
      <c r="C60" s="9"/>
      <c r="D60" s="9"/>
      <c r="E60" s="10"/>
      <c r="F60" s="11"/>
      <c r="G60" s="11"/>
    </row>
    <row r="61" spans="2:7" x14ac:dyDescent="0.2">
      <c r="B61" s="12"/>
      <c r="C61" s="9"/>
      <c r="D61" s="9"/>
      <c r="E61" s="10"/>
      <c r="F61" s="11"/>
      <c r="G61" s="11"/>
    </row>
    <row r="62" spans="2:7" x14ac:dyDescent="0.2">
      <c r="B62" s="12"/>
      <c r="C62" s="9"/>
      <c r="D62" s="9"/>
      <c r="E62" s="10"/>
      <c r="F62" s="11"/>
      <c r="G62" s="11"/>
    </row>
    <row r="63" spans="2:7" x14ac:dyDescent="0.2">
      <c r="B63" s="12"/>
      <c r="C63" s="9"/>
      <c r="D63" s="9"/>
      <c r="E63" s="10"/>
      <c r="F63" s="11"/>
      <c r="G63" s="11"/>
    </row>
    <row r="64" spans="2:7" x14ac:dyDescent="0.2">
      <c r="B64" s="12"/>
      <c r="C64" s="9"/>
      <c r="D64" s="9"/>
      <c r="E64" s="10"/>
      <c r="F64" s="11"/>
      <c r="G64" s="11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3"/>
    </row>
  </sheetData>
  <mergeCells count="14">
    <mergeCell ref="D21:H23"/>
    <mergeCell ref="A25:H30"/>
    <mergeCell ref="D20:F20"/>
    <mergeCell ref="G20:H20"/>
    <mergeCell ref="A1:D2"/>
    <mergeCell ref="D11:F11"/>
    <mergeCell ref="D3:H4"/>
    <mergeCell ref="D14:F14"/>
    <mergeCell ref="G14:H14"/>
    <mergeCell ref="G5:H5"/>
    <mergeCell ref="G11:H11"/>
    <mergeCell ref="D5:F5"/>
    <mergeCell ref="D8:D10"/>
    <mergeCell ref="C6:D6"/>
  </mergeCells>
  <phoneticPr fontId="0" type="noConversion"/>
  <pageMargins left="0.75" right="0.75" top="1" bottom="1" header="0.5" footer="0.5"/>
  <pageSetup orientation="landscape" r:id="rId1"/>
  <headerFooter alignWithMargins="0"/>
  <ignoredErrors>
    <ignoredError sqref="B12" unlockedFormula="1"/>
  </ignoredErrors>
  <webPublishItems count="1">
    <webPublishItem id="18692" divId="cowvalue_18692" sourceType="sheet" destinationFile="W:\DeVries\cowvalue.htm" title="tes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C25" sqref="C25"/>
    </sheetView>
  </sheetViews>
  <sheetFormatPr defaultRowHeight="12.75" x14ac:dyDescent="0.2"/>
  <cols>
    <col min="1" max="1" width="28.7109375" customWidth="1"/>
    <col min="3" max="7" width="11.5703125" bestFit="1" customWidth="1"/>
  </cols>
  <sheetData>
    <row r="1" spans="1:12" ht="18.75" thickBot="1" x14ac:dyDescent="0.3">
      <c r="A1" s="146" t="s">
        <v>81</v>
      </c>
      <c r="B1" s="146"/>
      <c r="C1" s="146"/>
      <c r="D1" s="146"/>
      <c r="E1" s="147"/>
      <c r="F1" s="85" t="s">
        <v>22</v>
      </c>
    </row>
    <row r="2" spans="1:12" ht="18" x14ac:dyDescent="0.25">
      <c r="C2" s="148" t="s">
        <v>59</v>
      </c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2">
      <c r="A3" s="149" t="s">
        <v>70</v>
      </c>
      <c r="B3" s="149" t="s">
        <v>71</v>
      </c>
      <c r="C3" s="151">
        <v>4000</v>
      </c>
      <c r="D3" s="151"/>
      <c r="E3" s="151">
        <v>5000</v>
      </c>
      <c r="F3" s="151"/>
      <c r="G3" s="151">
        <v>6000</v>
      </c>
      <c r="H3" s="151"/>
      <c r="I3" s="151">
        <v>7000</v>
      </c>
      <c r="J3" s="151"/>
      <c r="K3" s="151">
        <v>8000</v>
      </c>
      <c r="L3" s="151"/>
    </row>
    <row r="4" spans="1:12" x14ac:dyDescent="0.2">
      <c r="A4" s="150"/>
      <c r="B4" s="149"/>
      <c r="C4" s="93" t="s">
        <v>60</v>
      </c>
      <c r="D4" s="93" t="s">
        <v>61</v>
      </c>
      <c r="E4" s="93" t="s">
        <v>60</v>
      </c>
      <c r="F4" s="93" t="s">
        <v>61</v>
      </c>
      <c r="G4" s="93" t="s">
        <v>60</v>
      </c>
      <c r="H4" s="93" t="s">
        <v>61</v>
      </c>
      <c r="I4" s="93" t="s">
        <v>60</v>
      </c>
      <c r="J4" s="93" t="s">
        <v>61</v>
      </c>
      <c r="K4" s="93" t="s">
        <v>60</v>
      </c>
      <c r="L4" s="93" t="s">
        <v>61</v>
      </c>
    </row>
    <row r="5" spans="1:12" x14ac:dyDescent="0.2">
      <c r="A5" s="93" t="s">
        <v>62</v>
      </c>
      <c r="B5" s="90">
        <v>0.9</v>
      </c>
      <c r="C5" s="90">
        <v>18</v>
      </c>
      <c r="D5" s="90">
        <v>12</v>
      </c>
      <c r="E5" s="90">
        <v>18</v>
      </c>
      <c r="F5" s="90">
        <v>12</v>
      </c>
      <c r="G5" s="90">
        <v>18</v>
      </c>
      <c r="H5" s="90">
        <v>12</v>
      </c>
      <c r="I5" s="90">
        <v>18</v>
      </c>
      <c r="J5" s="90">
        <v>12</v>
      </c>
      <c r="K5" s="90">
        <v>22</v>
      </c>
      <c r="L5" s="90">
        <v>12</v>
      </c>
    </row>
    <row r="6" spans="1:12" x14ac:dyDescent="0.2">
      <c r="A6" s="93" t="s">
        <v>63</v>
      </c>
      <c r="B6" s="90">
        <v>1</v>
      </c>
      <c r="C6" s="90">
        <v>3</v>
      </c>
      <c r="D6" s="90">
        <v>3</v>
      </c>
      <c r="E6" s="90">
        <v>2.5</v>
      </c>
      <c r="F6" s="90">
        <v>3</v>
      </c>
      <c r="G6" s="90">
        <v>2.5</v>
      </c>
      <c r="H6" s="90">
        <v>3</v>
      </c>
      <c r="I6" s="90">
        <v>2.5</v>
      </c>
      <c r="J6" s="90">
        <v>3</v>
      </c>
      <c r="K6" s="90">
        <v>2</v>
      </c>
      <c r="L6" s="90">
        <v>3</v>
      </c>
    </row>
    <row r="7" spans="1:12" x14ac:dyDescent="0.2">
      <c r="A7" s="93" t="s">
        <v>64</v>
      </c>
      <c r="B7" s="90">
        <v>1.5</v>
      </c>
      <c r="C7" s="90">
        <v>2.5</v>
      </c>
      <c r="D7" s="90">
        <v>1</v>
      </c>
      <c r="E7" s="90">
        <v>2.5</v>
      </c>
      <c r="F7" s="90">
        <v>1</v>
      </c>
      <c r="G7" s="90">
        <v>3</v>
      </c>
      <c r="H7" s="90">
        <v>1</v>
      </c>
      <c r="I7" s="90">
        <v>3</v>
      </c>
      <c r="J7" s="90">
        <v>1</v>
      </c>
      <c r="K7" s="90">
        <v>3.5</v>
      </c>
      <c r="L7" s="90">
        <v>1</v>
      </c>
    </row>
    <row r="8" spans="1:12" x14ac:dyDescent="0.2">
      <c r="A8" s="93" t="s">
        <v>65</v>
      </c>
      <c r="B8" s="90">
        <v>6</v>
      </c>
      <c r="C8" s="90">
        <v>4.5</v>
      </c>
      <c r="D8" s="90">
        <v>3.5</v>
      </c>
      <c r="E8" s="90">
        <v>6.5</v>
      </c>
      <c r="F8" s="90">
        <v>4</v>
      </c>
      <c r="G8" s="90">
        <v>7.5</v>
      </c>
      <c r="H8" s="90">
        <v>4</v>
      </c>
      <c r="I8" s="90">
        <v>9</v>
      </c>
      <c r="J8" s="90">
        <v>4</v>
      </c>
      <c r="K8" s="90">
        <v>9.5</v>
      </c>
      <c r="L8" s="90">
        <v>4</v>
      </c>
    </row>
    <row r="9" spans="1:12" x14ac:dyDescent="0.2">
      <c r="A9" s="93" t="s">
        <v>66</v>
      </c>
      <c r="B9" s="90">
        <v>7</v>
      </c>
      <c r="C9" s="90"/>
      <c r="D9" s="90"/>
      <c r="E9" s="90"/>
      <c r="F9" s="90"/>
      <c r="G9" s="90"/>
      <c r="H9" s="90"/>
      <c r="I9" s="90"/>
      <c r="J9" s="90"/>
      <c r="K9" s="90">
        <v>0.4</v>
      </c>
      <c r="L9" s="90">
        <v>0</v>
      </c>
    </row>
    <row r="10" spans="1:12" x14ac:dyDescent="0.2">
      <c r="A10" s="94" t="s">
        <v>80</v>
      </c>
      <c r="B10" s="90">
        <v>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2">
      <c r="A11" s="94" t="s">
        <v>80</v>
      </c>
      <c r="B11" s="90">
        <v>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2">
      <c r="A12" s="94" t="s">
        <v>80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2">
      <c r="A13" s="94" t="s">
        <v>80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s="93" customFormat="1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">
      <c r="A15" t="s">
        <v>67</v>
      </c>
      <c r="B15" s="91"/>
      <c r="C15" s="91">
        <f>SUMPRODUCT($B5:$B13,C5:C13)</f>
        <v>49.95</v>
      </c>
      <c r="D15" s="91">
        <f>SUMPRODUCT($B5:$B13,D5:D13)</f>
        <v>36.299999999999997</v>
      </c>
      <c r="E15" s="91">
        <f t="shared" ref="E15:L15" si="0">SUMPRODUCT($B5:$B13,E5:E13)</f>
        <v>61.45</v>
      </c>
      <c r="F15" s="91">
        <f t="shared" si="0"/>
        <v>39.299999999999997</v>
      </c>
      <c r="G15" s="91">
        <f t="shared" si="0"/>
        <v>68.2</v>
      </c>
      <c r="H15" s="91">
        <f t="shared" si="0"/>
        <v>39.299999999999997</v>
      </c>
      <c r="I15" s="91">
        <f t="shared" si="0"/>
        <v>77.2</v>
      </c>
      <c r="J15" s="91">
        <f t="shared" si="0"/>
        <v>39.299999999999997</v>
      </c>
      <c r="K15" s="91">
        <f t="shared" si="0"/>
        <v>86.85</v>
      </c>
      <c r="L15" s="91">
        <f t="shared" si="0"/>
        <v>39.299999999999997</v>
      </c>
    </row>
    <row r="16" spans="1:12" x14ac:dyDescent="0.2">
      <c r="B16" s="91" t="s">
        <v>76</v>
      </c>
      <c r="C16" s="159">
        <f>C15*320+D15*45</f>
        <v>17617.5</v>
      </c>
      <c r="D16" s="159"/>
      <c r="E16" s="159">
        <f t="shared" ref="E16" si="1">E15*320+F15*45</f>
        <v>21432.5</v>
      </c>
      <c r="F16" s="159"/>
      <c r="G16" s="159">
        <f t="shared" ref="G16" si="2">G15*320+H15*45</f>
        <v>23592.5</v>
      </c>
      <c r="H16" s="159"/>
      <c r="I16" s="159">
        <f t="shared" ref="I16" si="3">I15*320+J15*45</f>
        <v>26472.5</v>
      </c>
      <c r="J16" s="159"/>
      <c r="K16" s="159">
        <f t="shared" ref="K16" si="4">K15*320+L15*45</f>
        <v>29560.5</v>
      </c>
      <c r="L16" s="159"/>
    </row>
    <row r="17" spans="1:12" x14ac:dyDescent="0.2">
      <c r="A17" s="92"/>
      <c r="B17" s="92"/>
      <c r="C17" s="95"/>
      <c r="D17" s="95"/>
      <c r="E17" s="95"/>
      <c r="F17" s="95"/>
      <c r="G17" s="95"/>
      <c r="H17" s="76"/>
      <c r="I17" s="76"/>
      <c r="J17" s="76"/>
      <c r="K17" s="76"/>
      <c r="L17" s="76"/>
    </row>
    <row r="18" spans="1:12" x14ac:dyDescent="0.2">
      <c r="A18" s="152" t="s">
        <v>78</v>
      </c>
      <c r="B18" s="152"/>
      <c r="C18" s="87">
        <f>C3</f>
        <v>4000</v>
      </c>
      <c r="D18" s="88">
        <f>E3</f>
        <v>5000</v>
      </c>
      <c r="E18" s="88">
        <f>G3</f>
        <v>6000</v>
      </c>
      <c r="F18" s="88">
        <f>I3</f>
        <v>7000</v>
      </c>
      <c r="G18" s="88">
        <f>K3</f>
        <v>8000</v>
      </c>
    </row>
    <row r="19" spans="1:12" ht="15" x14ac:dyDescent="0.25">
      <c r="A19" s="153" t="s">
        <v>68</v>
      </c>
      <c r="B19" s="153"/>
      <c r="C19" s="96">
        <v>0.7</v>
      </c>
      <c r="D19" s="96">
        <v>0.68</v>
      </c>
      <c r="E19" s="96">
        <v>0.66</v>
      </c>
      <c r="F19" s="96">
        <v>0.65</v>
      </c>
      <c r="G19" s="96">
        <v>0.64</v>
      </c>
    </row>
    <row r="20" spans="1:12" x14ac:dyDescent="0.2">
      <c r="A20" s="156"/>
      <c r="B20" s="157"/>
      <c r="C20" s="157"/>
      <c r="D20" s="157"/>
      <c r="E20" s="157"/>
      <c r="F20" s="157"/>
      <c r="G20" s="158"/>
    </row>
    <row r="21" spans="1:12" x14ac:dyDescent="0.2">
      <c r="A21" s="152" t="s">
        <v>77</v>
      </c>
      <c r="B21" s="152"/>
      <c r="C21" s="89">
        <f>C15*('düve değer_1'!$B$15-2)*30.4/C3</f>
        <v>4.5554400000000008</v>
      </c>
      <c r="D21" s="89">
        <f>E15*('düve değer_1'!$B$15-2)*30.4/E3</f>
        <v>4.4833920000000003</v>
      </c>
      <c r="E21" s="89">
        <f>G15*('düve değer_1'!$B$15-2)*30.4/G3</f>
        <v>4.14656</v>
      </c>
      <c r="F21" s="89">
        <f>I15*('düve değer_1'!$B$15-2)*30.4/I3</f>
        <v>4.0232228571428577</v>
      </c>
      <c r="G21" s="89">
        <f>K15*('düve değer_1'!$B$15-2)*30.4/K3</f>
        <v>3.9603599999999992</v>
      </c>
    </row>
    <row r="22" spans="1:12" x14ac:dyDescent="0.2">
      <c r="A22" s="152" t="s">
        <v>79</v>
      </c>
      <c r="B22" s="152"/>
      <c r="C22" s="89">
        <f>C21/C19</f>
        <v>6.5077714285714299</v>
      </c>
      <c r="D22" s="89">
        <f>D21/D19</f>
        <v>6.5932235294117643</v>
      </c>
      <c r="E22" s="89">
        <f>E21/E19</f>
        <v>6.2826666666666666</v>
      </c>
      <c r="F22" s="89">
        <f>F21/F19</f>
        <v>6.189573626373627</v>
      </c>
      <c r="G22" s="89">
        <f>G21/G19</f>
        <v>6.1880624999999982</v>
      </c>
    </row>
    <row r="24" spans="1:12" x14ac:dyDescent="0.2">
      <c r="F24" s="109">
        <f>F21</f>
        <v>4.0232228571428577</v>
      </c>
    </row>
    <row r="25" spans="1:12" x14ac:dyDescent="0.2">
      <c r="F25" s="108">
        <f>F22-F24</f>
        <v>2.1663507692307693</v>
      </c>
    </row>
    <row r="27" spans="1:12" x14ac:dyDescent="0.2">
      <c r="F27" s="75"/>
    </row>
    <row r="28" spans="1:12" x14ac:dyDescent="0.2">
      <c r="F28" s="79"/>
    </row>
  </sheetData>
  <mergeCells count="20">
    <mergeCell ref="A18:B18"/>
    <mergeCell ref="A19:B19"/>
    <mergeCell ref="A21:B21"/>
    <mergeCell ref="A22:B22"/>
    <mergeCell ref="A14:L14"/>
    <mergeCell ref="A20:G20"/>
    <mergeCell ref="C16:D16"/>
    <mergeCell ref="E16:F16"/>
    <mergeCell ref="G16:H16"/>
    <mergeCell ref="I16:J16"/>
    <mergeCell ref="K16:L16"/>
    <mergeCell ref="A1:E1"/>
    <mergeCell ref="C2:L2"/>
    <mergeCell ref="A3:A4"/>
    <mergeCell ref="B3:B4"/>
    <mergeCell ref="K3:L3"/>
    <mergeCell ref="I3:J3"/>
    <mergeCell ref="G3:H3"/>
    <mergeCell ref="E3:F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I17" sqref="I17"/>
    </sheetView>
  </sheetViews>
  <sheetFormatPr defaultRowHeight="12.75" x14ac:dyDescent="0.2"/>
  <cols>
    <col min="1" max="1" width="13.140625" bestFit="1" customWidth="1"/>
    <col min="2" max="2" width="15.42578125" customWidth="1"/>
    <col min="3" max="3" width="9.5703125" bestFit="1" customWidth="1"/>
    <col min="4" max="4" width="8.42578125" bestFit="1" customWidth="1"/>
    <col min="5" max="5" width="9.7109375" bestFit="1" customWidth="1"/>
    <col min="6" max="6" width="18.5703125" customWidth="1"/>
    <col min="7" max="7" width="14.28515625" bestFit="1" customWidth="1"/>
    <col min="8" max="8" width="11.5703125" customWidth="1"/>
    <col min="9" max="9" width="15" bestFit="1" customWidth="1"/>
    <col min="10" max="10" width="13.42578125" bestFit="1" customWidth="1"/>
    <col min="11" max="11" width="11.7109375" hidden="1" customWidth="1"/>
    <col min="12" max="12" width="12.85546875" bestFit="1" customWidth="1"/>
    <col min="13" max="13" width="9.140625" hidden="1" customWidth="1"/>
    <col min="14" max="14" width="22.140625" bestFit="1" customWidth="1"/>
  </cols>
  <sheetData>
    <row r="1" spans="1:14" ht="27.75" customHeight="1" thickBot="1" x14ac:dyDescent="0.25">
      <c r="A1" s="162" t="s">
        <v>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x14ac:dyDescent="0.2">
      <c r="A2" s="165" t="s">
        <v>24</v>
      </c>
      <c r="B2" s="166" t="s">
        <v>72</v>
      </c>
      <c r="C2" s="165" t="s">
        <v>25</v>
      </c>
      <c r="D2" s="165" t="s">
        <v>26</v>
      </c>
      <c r="E2" s="165" t="s">
        <v>27</v>
      </c>
      <c r="F2" s="165" t="s">
        <v>28</v>
      </c>
      <c r="G2" s="165" t="s">
        <v>29</v>
      </c>
      <c r="H2" s="165" t="s">
        <v>30</v>
      </c>
      <c r="I2" s="165" t="s">
        <v>31</v>
      </c>
      <c r="J2" s="165" t="s">
        <v>32</v>
      </c>
      <c r="L2" s="165" t="s">
        <v>34</v>
      </c>
      <c r="N2" s="160" t="s">
        <v>37</v>
      </c>
    </row>
    <row r="3" spans="1:14" ht="30" customHeight="1" x14ac:dyDescent="0.3">
      <c r="A3" s="165"/>
      <c r="B3" s="166"/>
      <c r="C3" s="165"/>
      <c r="D3" s="165"/>
      <c r="E3" s="165"/>
      <c r="F3" s="165"/>
      <c r="G3" s="165"/>
      <c r="H3" s="165"/>
      <c r="I3" s="165"/>
      <c r="J3" s="165"/>
      <c r="K3" s="25" t="s">
        <v>33</v>
      </c>
      <c r="L3" s="165"/>
      <c r="M3" s="26" t="s">
        <v>35</v>
      </c>
      <c r="N3" s="161"/>
    </row>
    <row r="4" spans="1:14" ht="20.100000000000001" customHeight="1" x14ac:dyDescent="0.35">
      <c r="A4" s="100" t="s">
        <v>3</v>
      </c>
      <c r="B4" s="100" t="s">
        <v>36</v>
      </c>
      <c r="C4" s="101">
        <v>6500</v>
      </c>
      <c r="D4" s="101">
        <v>4.7</v>
      </c>
      <c r="E4" s="101">
        <v>4000</v>
      </c>
      <c r="F4" s="101">
        <v>14</v>
      </c>
      <c r="G4" s="102">
        <v>4.9249999999999998</v>
      </c>
      <c r="H4" s="101">
        <v>36</v>
      </c>
      <c r="I4" s="101">
        <v>9000</v>
      </c>
      <c r="J4" s="103">
        <v>0.01</v>
      </c>
      <c r="K4" s="104">
        <v>1200</v>
      </c>
      <c r="L4" s="104">
        <f t="shared" ref="L4:L8" si="0">IF(C4&gt;0,(C4*(D4-G4)+E4*12/F4)/12,(E4*12/F4-K4)/12)</f>
        <v>163.83928571428589</v>
      </c>
      <c r="M4" s="26">
        <f>IF(B4="var",I4/(1+J4)^H4,I4/(1+J4)^(2*H4))</f>
        <v>6290.3245466453282</v>
      </c>
      <c r="N4" s="98">
        <f>IF(B4="var",(L4*((1+J4)^H4-1))/(J4*(1+J4)^H4),(L4*(((1+J4)^(H4))-1))/(J4*(1+J4)^(2*H4)))+M4</f>
        <v>11223.116666591584</v>
      </c>
    </row>
    <row r="5" spans="1:14" ht="20.100000000000001" customHeight="1" x14ac:dyDescent="0.35">
      <c r="A5" s="100" t="s">
        <v>4</v>
      </c>
      <c r="B5" s="100" t="s">
        <v>36</v>
      </c>
      <c r="C5" s="101">
        <v>7000</v>
      </c>
      <c r="D5" s="101">
        <v>4.7</v>
      </c>
      <c r="E5" s="101">
        <v>4100</v>
      </c>
      <c r="F5" s="101">
        <v>15</v>
      </c>
      <c r="G5" s="101">
        <v>4.9000000000000004</v>
      </c>
      <c r="H5" s="101">
        <v>35</v>
      </c>
      <c r="I5" s="101">
        <v>9000</v>
      </c>
      <c r="J5" s="103">
        <v>0.01</v>
      </c>
      <c r="K5" s="104">
        <v>1200</v>
      </c>
      <c r="L5" s="104">
        <f t="shared" si="0"/>
        <v>156.66666666666657</v>
      </c>
      <c r="M5" s="26">
        <f>IF(B5="var",I5/(1+J5)^H5,I5/(1+J5)^(2*H5))</f>
        <v>6353.2277921117829</v>
      </c>
      <c r="N5" s="98">
        <f t="shared" ref="N5:N8" si="1">IF(B5="var",(L5*((1+J5)^H5-1))/(J5*(1+J5)^H5),(L5*(((1+J5)^(H5))-1))/(J5*(1+J5)^(2*H5)))+M5</f>
        <v>10960.572005843122</v>
      </c>
    </row>
    <row r="6" spans="1:14" ht="20.100000000000001" customHeight="1" x14ac:dyDescent="0.35">
      <c r="A6" s="100" t="s">
        <v>5</v>
      </c>
      <c r="B6" s="100" t="s">
        <v>36</v>
      </c>
      <c r="C6" s="101">
        <v>7500</v>
      </c>
      <c r="D6" s="101">
        <v>4.7</v>
      </c>
      <c r="E6" s="101">
        <v>4200</v>
      </c>
      <c r="F6" s="101">
        <v>15.5</v>
      </c>
      <c r="G6" s="101">
        <v>4.875</v>
      </c>
      <c r="H6" s="101">
        <v>34</v>
      </c>
      <c r="I6" s="101">
        <v>9000</v>
      </c>
      <c r="J6" s="103">
        <v>0.01</v>
      </c>
      <c r="K6" s="104">
        <v>1200</v>
      </c>
      <c r="L6" s="104">
        <f t="shared" si="0"/>
        <v>161.59274193548399</v>
      </c>
      <c r="M6" s="26">
        <f>IF(B6="var",I6/(1+J6)^H6,I6/(1+J6)^(2*H6))</f>
        <v>6416.7600700328994</v>
      </c>
      <c r="N6" s="98">
        <f t="shared" si="1"/>
        <v>11054.902551817471</v>
      </c>
    </row>
    <row r="7" spans="1:14" ht="20.100000000000001" customHeight="1" x14ac:dyDescent="0.35">
      <c r="A7" s="100" t="s">
        <v>6</v>
      </c>
      <c r="B7" s="100" t="s">
        <v>36</v>
      </c>
      <c r="C7" s="101">
        <v>8000</v>
      </c>
      <c r="D7" s="101">
        <v>4.7</v>
      </c>
      <c r="E7" s="101">
        <v>4250</v>
      </c>
      <c r="F7" s="101">
        <v>16</v>
      </c>
      <c r="G7" s="101">
        <v>4.8499999999999996</v>
      </c>
      <c r="H7" s="101">
        <v>33</v>
      </c>
      <c r="I7" s="101">
        <v>9000</v>
      </c>
      <c r="J7" s="103">
        <v>0.01</v>
      </c>
      <c r="K7" s="104">
        <v>1200</v>
      </c>
      <c r="L7" s="104">
        <f t="shared" si="0"/>
        <v>165.62500000000037</v>
      </c>
      <c r="M7" s="26">
        <f>IF(B7="var",I7/(1+J7)^H7,I7/(1+J7)^(2*H7))</f>
        <v>6480.9276707332283</v>
      </c>
      <c r="N7" s="98">
        <f t="shared" si="1"/>
        <v>11116.720498897783</v>
      </c>
    </row>
    <row r="8" spans="1:14" ht="20.100000000000001" customHeight="1" thickBot="1" x14ac:dyDescent="0.4">
      <c r="A8" s="100" t="s">
        <v>7</v>
      </c>
      <c r="B8" s="100" t="s">
        <v>36</v>
      </c>
      <c r="C8" s="101">
        <v>8500</v>
      </c>
      <c r="D8" s="101">
        <v>4.7</v>
      </c>
      <c r="E8" s="101">
        <v>4250</v>
      </c>
      <c r="F8" s="101">
        <v>16.5</v>
      </c>
      <c r="G8" s="101">
        <v>4.8</v>
      </c>
      <c r="H8" s="101">
        <v>32</v>
      </c>
      <c r="I8" s="101">
        <v>9000</v>
      </c>
      <c r="J8" s="103">
        <v>0.01</v>
      </c>
      <c r="K8" s="104">
        <v>1200</v>
      </c>
      <c r="L8" s="104">
        <f t="shared" si="0"/>
        <v>186.74242424242451</v>
      </c>
      <c r="M8" s="26">
        <f>IF(B8="var",I8/(1+J8)^H8,I8/(1+J8)^(2*H8))</f>
        <v>6545.7369474405605</v>
      </c>
      <c r="N8" s="99">
        <f t="shared" si="1"/>
        <v>11638.126193702366</v>
      </c>
    </row>
    <row r="9" spans="1:14" ht="20.100000000000001" customHeight="1" thickBot="1" x14ac:dyDescent="0.4">
      <c r="A9" s="100" t="s">
        <v>73</v>
      </c>
      <c r="B9" s="100" t="s">
        <v>36</v>
      </c>
      <c r="C9" s="101">
        <v>8500</v>
      </c>
      <c r="D9" s="101">
        <v>4.7</v>
      </c>
      <c r="E9" s="101">
        <v>4250</v>
      </c>
      <c r="F9" s="101">
        <v>16.5</v>
      </c>
      <c r="G9" s="101">
        <v>4.8</v>
      </c>
      <c r="H9" s="101">
        <v>32</v>
      </c>
      <c r="I9" s="101">
        <v>9000</v>
      </c>
      <c r="J9" s="103">
        <v>0.01</v>
      </c>
      <c r="K9" s="104">
        <v>1201</v>
      </c>
      <c r="L9" s="104">
        <f t="shared" ref="L9:L11" si="2">IF(C9&gt;0,(C9*(D9-G9)+E9*12/F9)/12,(E9*12/F9-K9)/12)</f>
        <v>186.74242424242451</v>
      </c>
      <c r="M9" s="78">
        <f t="shared" ref="M9:M11" si="3">IF(B9="var",I9/(1+J9)^H9,I9/(1+J9)^(2*H9))</f>
        <v>6545.7369474405605</v>
      </c>
      <c r="N9" s="99">
        <f t="shared" ref="N9:N11" si="4">IF(B9="var",(L9*((1+J9)^H9-1))/(J9*(1+J9)^H9),(L9*(((1+J9)^(H9))-1))/(J9*(1+J9)^(2*H9)))+M9</f>
        <v>11638.126193702366</v>
      </c>
    </row>
    <row r="10" spans="1:14" ht="20.100000000000001" customHeight="1" thickBot="1" x14ac:dyDescent="0.4">
      <c r="A10" s="100" t="s">
        <v>74</v>
      </c>
      <c r="B10" s="100" t="s">
        <v>36</v>
      </c>
      <c r="C10" s="101">
        <v>8500</v>
      </c>
      <c r="D10" s="101">
        <v>4.7</v>
      </c>
      <c r="E10" s="101">
        <v>4250</v>
      </c>
      <c r="F10" s="101">
        <v>16.5</v>
      </c>
      <c r="G10" s="101">
        <v>4.8</v>
      </c>
      <c r="H10" s="101">
        <v>32</v>
      </c>
      <c r="I10" s="101">
        <v>9000</v>
      </c>
      <c r="J10" s="103">
        <v>0.01</v>
      </c>
      <c r="K10" s="104">
        <v>1202</v>
      </c>
      <c r="L10" s="104">
        <f t="shared" si="2"/>
        <v>186.74242424242451</v>
      </c>
      <c r="M10" s="78">
        <f t="shared" si="3"/>
        <v>6545.7369474405605</v>
      </c>
      <c r="N10" s="99">
        <f t="shared" si="4"/>
        <v>11638.126193702366</v>
      </c>
    </row>
    <row r="11" spans="1:14" ht="20.100000000000001" customHeight="1" thickBot="1" x14ac:dyDescent="0.4">
      <c r="A11" s="100" t="s">
        <v>75</v>
      </c>
      <c r="B11" s="100" t="s">
        <v>36</v>
      </c>
      <c r="C11" s="101">
        <v>8500</v>
      </c>
      <c r="D11" s="101">
        <v>4.7</v>
      </c>
      <c r="E11" s="101">
        <v>4250</v>
      </c>
      <c r="F11" s="101">
        <v>16.5</v>
      </c>
      <c r="G11" s="101">
        <v>4.8</v>
      </c>
      <c r="H11" s="101">
        <v>32</v>
      </c>
      <c r="I11" s="101">
        <v>9000</v>
      </c>
      <c r="J11" s="103">
        <v>0.01</v>
      </c>
      <c r="K11" s="104">
        <v>1203</v>
      </c>
      <c r="L11" s="104">
        <f t="shared" si="2"/>
        <v>186.74242424242451</v>
      </c>
      <c r="M11" s="78">
        <f t="shared" si="3"/>
        <v>6545.7369474405605</v>
      </c>
      <c r="N11" s="99">
        <f t="shared" si="4"/>
        <v>11638.126193702366</v>
      </c>
    </row>
    <row r="12" spans="1:14" ht="20.100000000000001" customHeight="1" x14ac:dyDescent="0.5">
      <c r="A12" s="80"/>
      <c r="B12" s="80"/>
      <c r="C12" s="81"/>
      <c r="D12" s="81"/>
      <c r="E12" s="81"/>
      <c r="F12" s="81"/>
      <c r="G12" s="81"/>
      <c r="H12" s="81"/>
      <c r="I12" s="81"/>
      <c r="J12" s="82"/>
      <c r="K12" s="83"/>
      <c r="L12" s="83"/>
      <c r="M12" s="78"/>
      <c r="N12" s="97"/>
    </row>
    <row r="13" spans="1:14" ht="20.100000000000001" customHeight="1" x14ac:dyDescent="0.5">
      <c r="A13" s="80"/>
      <c r="B13" s="80"/>
      <c r="C13" s="81"/>
      <c r="D13" s="81"/>
      <c r="E13" s="81"/>
      <c r="F13" s="81"/>
      <c r="G13" s="81"/>
      <c r="H13" s="81"/>
      <c r="I13" s="81"/>
      <c r="J13" s="82"/>
      <c r="K13" s="83"/>
      <c r="L13" s="83"/>
      <c r="M13" s="78"/>
      <c r="N13" s="97"/>
    </row>
    <row r="14" spans="1:14" ht="20.100000000000001" customHeight="1" x14ac:dyDescent="0.5">
      <c r="A14" s="80"/>
      <c r="B14" s="80"/>
      <c r="C14" s="81"/>
      <c r="D14" s="81"/>
      <c r="E14" s="81"/>
      <c r="F14" s="81"/>
      <c r="G14" s="81"/>
      <c r="H14" s="81"/>
      <c r="I14" s="81"/>
      <c r="J14" s="82"/>
      <c r="K14" s="83"/>
      <c r="L14" s="83"/>
      <c r="M14" s="78"/>
      <c r="N14" s="97"/>
    </row>
    <row r="15" spans="1:14" ht="20.100000000000001" customHeight="1" x14ac:dyDescent="0.5">
      <c r="A15" s="80"/>
      <c r="B15" s="80"/>
      <c r="C15" s="81"/>
      <c r="D15" s="81"/>
      <c r="E15" s="81"/>
      <c r="F15" s="81"/>
      <c r="G15" s="81"/>
      <c r="H15" s="81"/>
      <c r="I15" s="81"/>
      <c r="J15" s="82"/>
      <c r="K15" s="83"/>
      <c r="L15" s="83"/>
      <c r="M15" s="78"/>
      <c r="N15" s="97"/>
    </row>
    <row r="16" spans="1:14" ht="20.100000000000001" customHeight="1" x14ac:dyDescent="0.5">
      <c r="A16" s="80"/>
      <c r="B16" s="80"/>
      <c r="C16" s="81"/>
      <c r="D16" s="81"/>
      <c r="E16" s="81"/>
      <c r="F16" s="81"/>
      <c r="G16" s="81"/>
      <c r="H16" s="81"/>
      <c r="I16" s="81"/>
      <c r="J16" s="82"/>
      <c r="K16" s="83"/>
      <c r="L16" s="83"/>
      <c r="M16" s="78"/>
      <c r="N16" s="97"/>
    </row>
    <row r="17" ht="20.100000000000001" customHeight="1" x14ac:dyDescent="0.2"/>
    <row r="18" ht="20.100000000000001" customHeight="1" x14ac:dyDescent="0.2"/>
  </sheetData>
  <mergeCells count="13">
    <mergeCell ref="N2:N3"/>
    <mergeCell ref="A1:N1"/>
    <mergeCell ref="H2:H3"/>
    <mergeCell ref="I2:I3"/>
    <mergeCell ref="J2:J3"/>
    <mergeCell ref="L2:L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düve değer_1</vt:lpstr>
      <vt:lpstr>rasyon</vt:lpstr>
      <vt:lpstr>düve değer_mukayese_çoklu</vt:lpstr>
      <vt:lpstr>Sayfa1</vt:lpstr>
      <vt:lpstr>'düve değer_1'!Print_Area</vt:lpstr>
    </vt:vector>
  </TitlesOfParts>
  <Company>Animal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de Vries</dc:creator>
  <cp:lastModifiedBy>Oguzhan</cp:lastModifiedBy>
  <cp:lastPrinted>2004-05-26T11:19:11Z</cp:lastPrinted>
  <dcterms:created xsi:type="dcterms:W3CDTF">2001-12-11T18:35:02Z</dcterms:created>
  <dcterms:modified xsi:type="dcterms:W3CDTF">2022-04-08T06:33:43Z</dcterms:modified>
</cp:coreProperties>
</file>