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506EA43D-2115-4243-B0AC-32186FEE4057}" xr6:coauthVersionLast="47" xr6:coauthVersionMax="47" xr10:uidLastSave="{00000000-0000-0000-0000-000000000000}"/>
  <bookViews>
    <workbookView xWindow="28680" yWindow="-120" windowWidth="29040" windowHeight="15840" tabRatio="740" firstSheet="1" activeTab="3" xr2:uid="{00000000-000D-0000-FFFF-FFFF00000000}"/>
  </bookViews>
  <sheets>
    <sheet name="varsayımlar ve kullanım" sheetId="46" r:id="rId1"/>
    <sheet name="MAKİNE PARKI FİYAT LİSTESİ" sheetId="8" r:id="rId2"/>
    <sheet name="FİYAT LİSTESİ" sheetId="45" r:id="rId3"/>
    <sheet name="ANA SAYFA" sheetId="6" r:id="rId4"/>
    <sheet name="BEZ+TRİTİ_YENİ 1" sheetId="53" r:id="rId5"/>
    <sheet name="M FİĞ+TRİ YENİ l 1" sheetId="47" r:id="rId6"/>
    <sheet name="YONCA YENİ 1" sheetId="48" r:id="rId7"/>
    <sheet name="MISIR YENİ 1" sheetId="49" r:id="rId8"/>
    <sheet name="AYÇİÇEĞİ YENİ 1" sheetId="50" r:id="rId9"/>
    <sheet name="BUĞDAY YENİ 1" sheetId="51" r:id="rId10"/>
    <sheet name="ARPA YENİ 1" sheetId="52" r:id="rId11"/>
    <sheet name="TOPLU" sheetId="54" r:id="rId12"/>
    <sheet name="DESTEK-İLETİŞİM" sheetId="10" r:id="rId13"/>
  </sheets>
  <definedNames>
    <definedName name="_xlnm.Print_Area" localSheetId="12">'DESTEK-İLETİŞİM'!$D$4:$H$57</definedName>
    <definedName name="_xlnm.Print_Area" localSheetId="1">'MAKİNE PARKI FİYAT LİSTESİ'!#REF!</definedName>
  </definedNames>
  <calcPr calcId="191029"/>
</workbook>
</file>

<file path=xl/calcChain.xml><?xml version="1.0" encoding="utf-8"?>
<calcChain xmlns="http://schemas.openxmlformats.org/spreadsheetml/2006/main">
  <c r="F10" i="48" l="1"/>
  <c r="F9" i="48"/>
  <c r="J17" i="52"/>
  <c r="J17" i="51"/>
  <c r="E29" i="54"/>
  <c r="E30" i="54"/>
  <c r="E31" i="54"/>
  <c r="E32" i="54"/>
  <c r="E33" i="54"/>
  <c r="D30" i="54"/>
  <c r="D31" i="54"/>
  <c r="D29" i="54"/>
  <c r="C30" i="54"/>
  <c r="C31" i="54"/>
  <c r="C32" i="54"/>
  <c r="C33" i="54"/>
  <c r="C29" i="54"/>
  <c r="B30" i="54"/>
  <c r="B32" i="54"/>
  <c r="B33" i="54"/>
  <c r="B29" i="54"/>
  <c r="A29" i="54"/>
  <c r="E28" i="54"/>
  <c r="C28" i="54"/>
  <c r="B28" i="54"/>
  <c r="D25" i="54"/>
  <c r="E25" i="54"/>
  <c r="D26" i="54"/>
  <c r="E26" i="54"/>
  <c r="E27" i="54"/>
  <c r="E24" i="54"/>
  <c r="D24" i="54"/>
  <c r="C25" i="54"/>
  <c r="C26" i="54"/>
  <c r="C27" i="54"/>
  <c r="C24" i="54"/>
  <c r="B25" i="54"/>
  <c r="B27" i="54"/>
  <c r="B24" i="54"/>
  <c r="A24" i="54"/>
  <c r="E23" i="54"/>
  <c r="D23" i="54"/>
  <c r="B23" i="54"/>
  <c r="A23" i="54"/>
  <c r="B19" i="54"/>
  <c r="B21" i="54"/>
  <c r="B22" i="54"/>
  <c r="B18" i="54"/>
  <c r="B15" i="54"/>
  <c r="B16" i="54"/>
  <c r="B17" i="54"/>
  <c r="B14" i="54"/>
  <c r="B11" i="54"/>
  <c r="B12" i="54"/>
  <c r="B13" i="54"/>
  <c r="B10" i="54"/>
  <c r="B7" i="54"/>
  <c r="B8" i="54"/>
  <c r="B9" i="54"/>
  <c r="B6" i="54"/>
  <c r="C19" i="54"/>
  <c r="D19" i="54"/>
  <c r="E19" i="54"/>
  <c r="C20" i="54"/>
  <c r="D20" i="54"/>
  <c r="E20" i="54"/>
  <c r="C21" i="54"/>
  <c r="E21" i="54"/>
  <c r="C22" i="54"/>
  <c r="E22" i="54"/>
  <c r="E18" i="54"/>
  <c r="D18" i="54"/>
  <c r="C18" i="54"/>
  <c r="A18" i="54"/>
  <c r="C15" i="54"/>
  <c r="E15" i="54"/>
  <c r="C16" i="54"/>
  <c r="E16" i="54"/>
  <c r="C17" i="54"/>
  <c r="E17" i="54"/>
  <c r="E14" i="54"/>
  <c r="D14" i="54"/>
  <c r="C14" i="54"/>
  <c r="A14" i="54"/>
  <c r="C11" i="54"/>
  <c r="E11" i="54"/>
  <c r="C12" i="54"/>
  <c r="E12" i="54"/>
  <c r="C13" i="54"/>
  <c r="E13" i="54"/>
  <c r="E10" i="54"/>
  <c r="D10" i="54"/>
  <c r="C10" i="54"/>
  <c r="A10" i="54"/>
  <c r="C7" i="54"/>
  <c r="E7" i="54"/>
  <c r="C8" i="54"/>
  <c r="E8" i="54"/>
  <c r="C9" i="54"/>
  <c r="E9" i="54"/>
  <c r="D6" i="54"/>
  <c r="C6" i="54"/>
  <c r="A6" i="54"/>
  <c r="E43" i="52"/>
  <c r="E42" i="52"/>
  <c r="E41" i="52"/>
  <c r="E42" i="51"/>
  <c r="E43" i="51"/>
  <c r="E41" i="51"/>
  <c r="E39" i="50"/>
  <c r="E38" i="50"/>
  <c r="E37" i="50"/>
  <c r="E43" i="49"/>
  <c r="E42" i="49"/>
  <c r="E41" i="49"/>
  <c r="E43" i="48"/>
  <c r="E42" i="48"/>
  <c r="E41" i="48"/>
  <c r="E41" i="47"/>
  <c r="E40" i="47"/>
  <c r="E39" i="47"/>
  <c r="E40" i="53"/>
  <c r="E41" i="53"/>
  <c r="E39" i="53"/>
  <c r="K13" i="50"/>
  <c r="J14" i="50"/>
  <c r="J13" i="50"/>
  <c r="K42" i="52"/>
  <c r="K42" i="51"/>
  <c r="K42" i="49"/>
  <c r="K41" i="49"/>
  <c r="J42" i="49"/>
  <c r="J41" i="48"/>
  <c r="J40" i="48"/>
  <c r="J41" i="47"/>
  <c r="J40" i="47"/>
  <c r="J41" i="53"/>
  <c r="J40" i="53"/>
  <c r="J36" i="49"/>
  <c r="J35" i="49"/>
  <c r="J34" i="49"/>
  <c r="J33" i="49"/>
  <c r="J32" i="49"/>
  <c r="J31" i="49"/>
  <c r="J30" i="49"/>
  <c r="J35" i="48"/>
  <c r="J34" i="48"/>
  <c r="J33" i="48"/>
  <c r="J32" i="48"/>
  <c r="J31" i="48"/>
  <c r="J30" i="48"/>
  <c r="J29" i="48"/>
  <c r="J35" i="53"/>
  <c r="J34" i="53"/>
  <c r="J33" i="53"/>
  <c r="J32" i="53"/>
  <c r="J31" i="53"/>
  <c r="J30" i="53"/>
  <c r="J29" i="53"/>
  <c r="J35" i="47"/>
  <c r="J34" i="47"/>
  <c r="J33" i="47"/>
  <c r="J30" i="47"/>
  <c r="J31" i="47"/>
  <c r="J32" i="47"/>
  <c r="J29" i="47"/>
  <c r="J27" i="52"/>
  <c r="J26" i="52"/>
  <c r="J25" i="52"/>
  <c r="J24" i="52"/>
  <c r="J27" i="51"/>
  <c r="J26" i="51"/>
  <c r="J25" i="51"/>
  <c r="J24" i="51"/>
  <c r="J37" i="52"/>
  <c r="J33" i="52"/>
  <c r="J34" i="52"/>
  <c r="J35" i="52"/>
  <c r="J36" i="52"/>
  <c r="J32" i="52"/>
  <c r="J31" i="52"/>
  <c r="J37" i="51"/>
  <c r="J36" i="51"/>
  <c r="J35" i="51"/>
  <c r="J34" i="51"/>
  <c r="J33" i="51"/>
  <c r="J32" i="51"/>
  <c r="J31" i="51"/>
  <c r="J26" i="49"/>
  <c r="J25" i="49"/>
  <c r="J24" i="49"/>
  <c r="J23" i="49"/>
  <c r="J25" i="48"/>
  <c r="J24" i="48"/>
  <c r="J23" i="48"/>
  <c r="J22" i="48"/>
  <c r="J23" i="47"/>
  <c r="J24" i="47"/>
  <c r="J25" i="47"/>
  <c r="J22" i="47"/>
  <c r="J23" i="53"/>
  <c r="J24" i="53"/>
  <c r="J25" i="53"/>
  <c r="J22" i="53"/>
  <c r="J19" i="49"/>
  <c r="J18" i="49"/>
  <c r="J17" i="49"/>
  <c r="J18" i="48"/>
  <c r="J17" i="48"/>
  <c r="J16" i="48"/>
  <c r="J18" i="47"/>
  <c r="J17" i="47"/>
  <c r="J16" i="47"/>
  <c r="J18" i="53"/>
  <c r="I30" i="45"/>
  <c r="D31" i="52"/>
  <c r="D32" i="52"/>
  <c r="D34" i="52"/>
  <c r="D35" i="52"/>
  <c r="D36" i="52"/>
  <c r="D37" i="52"/>
  <c r="D30" i="52"/>
  <c r="D34" i="51"/>
  <c r="D35" i="51"/>
  <c r="D36" i="51"/>
  <c r="D37" i="51"/>
  <c r="D31" i="51"/>
  <c r="D32" i="51"/>
  <c r="D30" i="51"/>
  <c r="D30" i="50"/>
  <c r="D31" i="50"/>
  <c r="D32" i="50"/>
  <c r="D33" i="50"/>
  <c r="D29" i="50"/>
  <c r="D26" i="50"/>
  <c r="D27" i="50"/>
  <c r="D25" i="50"/>
  <c r="D34" i="49"/>
  <c r="D35" i="49"/>
  <c r="D36" i="49"/>
  <c r="D37" i="49"/>
  <c r="D33" i="49"/>
  <c r="D30" i="49"/>
  <c r="D31" i="49"/>
  <c r="D29" i="49"/>
  <c r="D35" i="48"/>
  <c r="D36" i="48"/>
  <c r="D37" i="48"/>
  <c r="D34" i="48"/>
  <c r="D31" i="48"/>
  <c r="D32" i="48"/>
  <c r="D30" i="48"/>
  <c r="D33" i="47"/>
  <c r="D34" i="47"/>
  <c r="D35" i="47"/>
  <c r="D32" i="47"/>
  <c r="D29" i="47"/>
  <c r="D30" i="47"/>
  <c r="D28" i="47"/>
  <c r="E19" i="52"/>
  <c r="E20" i="52"/>
  <c r="E21" i="52"/>
  <c r="E18" i="52"/>
  <c r="E19" i="51"/>
  <c r="E20" i="51"/>
  <c r="E21" i="51"/>
  <c r="E18" i="51"/>
  <c r="E15" i="50"/>
  <c r="E16" i="50"/>
  <c r="E14" i="50"/>
  <c r="E20" i="49"/>
  <c r="E19" i="49"/>
  <c r="E18" i="49"/>
  <c r="D25" i="52"/>
  <c r="D25" i="51"/>
  <c r="D20" i="50"/>
  <c r="D24" i="49"/>
  <c r="D25" i="48"/>
  <c r="D24" i="47"/>
  <c r="D23" i="47"/>
  <c r="E21" i="48"/>
  <c r="E20" i="48"/>
  <c r="E19" i="48"/>
  <c r="E18" i="48"/>
  <c r="E17" i="48"/>
  <c r="E19" i="47"/>
  <c r="E18" i="47"/>
  <c r="E17" i="47"/>
  <c r="H30" i="45"/>
  <c r="J17" i="53"/>
  <c r="J16" i="53"/>
  <c r="E18" i="53"/>
  <c r="E19" i="53"/>
  <c r="E17" i="53"/>
  <c r="D35" i="53"/>
  <c r="D34" i="53"/>
  <c r="D33" i="53"/>
  <c r="D32" i="53"/>
  <c r="D30" i="53"/>
  <c r="D29" i="53"/>
  <c r="D23" i="53"/>
  <c r="D28" i="53"/>
  <c r="D24" i="53"/>
  <c r="E44" i="48" l="1"/>
  <c r="E44" i="49"/>
  <c r="E40" i="50"/>
  <c r="E44" i="52"/>
  <c r="E44" i="51"/>
  <c r="E42" i="47"/>
  <c r="E42" i="53"/>
  <c r="K41" i="53"/>
  <c r="K40" i="53"/>
  <c r="C35" i="53"/>
  <c r="E34" i="53"/>
  <c r="E33" i="53"/>
  <c r="E32" i="53"/>
  <c r="E30" i="53"/>
  <c r="K29" i="53"/>
  <c r="E29" i="53"/>
  <c r="E28" i="53"/>
  <c r="J26" i="53"/>
  <c r="C25" i="53"/>
  <c r="E24" i="53"/>
  <c r="E23" i="53"/>
  <c r="K22" i="53"/>
  <c r="K17" i="53"/>
  <c r="C10" i="53"/>
  <c r="C9" i="53"/>
  <c r="D8" i="54" s="1"/>
  <c r="C8" i="53"/>
  <c r="H7" i="53"/>
  <c r="E7" i="53"/>
  <c r="F6" i="54" s="1"/>
  <c r="K44" i="52"/>
  <c r="E37" i="52"/>
  <c r="E36" i="52"/>
  <c r="E35" i="52"/>
  <c r="E34" i="52"/>
  <c r="E32" i="52"/>
  <c r="K31" i="52"/>
  <c r="E31" i="52"/>
  <c r="E30" i="52"/>
  <c r="J28" i="52"/>
  <c r="E25" i="52"/>
  <c r="E27" i="52" s="1"/>
  <c r="K24" i="52"/>
  <c r="K17" i="52"/>
  <c r="K22" i="52" s="1"/>
  <c r="C11" i="52"/>
  <c r="C10" i="52"/>
  <c r="E8" i="52"/>
  <c r="F30" i="54" s="1"/>
  <c r="H7" i="52"/>
  <c r="E7" i="52"/>
  <c r="F29" i="54" s="1"/>
  <c r="K17" i="51"/>
  <c r="K22" i="51" s="1"/>
  <c r="E30" i="51"/>
  <c r="E37" i="51"/>
  <c r="E36" i="51"/>
  <c r="E35" i="51"/>
  <c r="E34" i="51"/>
  <c r="E32" i="51"/>
  <c r="K31" i="51"/>
  <c r="E31" i="51"/>
  <c r="J28" i="51"/>
  <c r="E25" i="51"/>
  <c r="K24" i="51"/>
  <c r="C11" i="51"/>
  <c r="C10" i="51"/>
  <c r="E8" i="51"/>
  <c r="F25" i="54" s="1"/>
  <c r="H7" i="51"/>
  <c r="E7" i="51"/>
  <c r="F24" i="54" s="1"/>
  <c r="K14" i="50"/>
  <c r="E20" i="50"/>
  <c r="E22" i="50" s="1"/>
  <c r="E25" i="50"/>
  <c r="E26" i="50"/>
  <c r="E27" i="50"/>
  <c r="E29" i="50"/>
  <c r="E30" i="50"/>
  <c r="E31" i="50"/>
  <c r="E32" i="50"/>
  <c r="E33" i="50"/>
  <c r="E7" i="50"/>
  <c r="F23" i="54" s="1"/>
  <c r="E8" i="49"/>
  <c r="F19" i="54" s="1"/>
  <c r="E37" i="49"/>
  <c r="E31" i="49"/>
  <c r="E24" i="49"/>
  <c r="J20" i="49"/>
  <c r="E35" i="49"/>
  <c r="E34" i="49"/>
  <c r="E33" i="49"/>
  <c r="K30" i="49"/>
  <c r="E30" i="49"/>
  <c r="E29" i="49"/>
  <c r="J27" i="49"/>
  <c r="K23" i="49"/>
  <c r="K18" i="49"/>
  <c r="C11" i="49"/>
  <c r="C10" i="49"/>
  <c r="D21" i="54" s="1"/>
  <c r="H7" i="49"/>
  <c r="E7" i="49"/>
  <c r="F18" i="54" s="1"/>
  <c r="E25" i="48"/>
  <c r="K41" i="48"/>
  <c r="K40" i="48"/>
  <c r="E37" i="48"/>
  <c r="E36" i="48"/>
  <c r="E35" i="48"/>
  <c r="E34" i="48"/>
  <c r="E32" i="48"/>
  <c r="K29" i="48"/>
  <c r="E31" i="48"/>
  <c r="E30" i="48"/>
  <c r="J26" i="48"/>
  <c r="K22" i="48"/>
  <c r="K17" i="48"/>
  <c r="C10" i="48"/>
  <c r="C9" i="48"/>
  <c r="D16" i="54" s="1"/>
  <c r="C8" i="48"/>
  <c r="H7" i="48"/>
  <c r="E7" i="48"/>
  <c r="F14" i="54" s="1"/>
  <c r="K41" i="47"/>
  <c r="K40" i="47"/>
  <c r="C35" i="47"/>
  <c r="E34" i="47"/>
  <c r="E33" i="47"/>
  <c r="E32" i="47"/>
  <c r="E30" i="47"/>
  <c r="K29" i="47"/>
  <c r="E29" i="47"/>
  <c r="E28" i="47"/>
  <c r="J26" i="47"/>
  <c r="C25" i="47"/>
  <c r="E24" i="47"/>
  <c r="E23" i="47"/>
  <c r="K22" i="47"/>
  <c r="K17" i="47"/>
  <c r="C10" i="47"/>
  <c r="D13" i="54" s="1"/>
  <c r="C9" i="47"/>
  <c r="D12" i="54" s="1"/>
  <c r="C8" i="47"/>
  <c r="D11" i="54" s="1"/>
  <c r="H7" i="47"/>
  <c r="E7" i="47"/>
  <c r="F10" i="54" s="1"/>
  <c r="J13" i="46"/>
  <c r="C15" i="46"/>
  <c r="D19" i="46" s="1"/>
  <c r="D21" i="46" s="1"/>
  <c r="B4" i="46"/>
  <c r="E10" i="53" l="1"/>
  <c r="F9" i="54" s="1"/>
  <c r="D9" i="54"/>
  <c r="E9" i="47"/>
  <c r="F12" i="54" s="1"/>
  <c r="J19" i="47"/>
  <c r="K18" i="47" s="1"/>
  <c r="E10" i="48"/>
  <c r="F17" i="54" s="1"/>
  <c r="D17" i="54"/>
  <c r="E11" i="51"/>
  <c r="F28" i="54" s="1"/>
  <c r="D28" i="54"/>
  <c r="E10" i="52"/>
  <c r="F32" i="54" s="1"/>
  <c r="D32" i="54"/>
  <c r="E10" i="51"/>
  <c r="F27" i="54" s="1"/>
  <c r="D27" i="54"/>
  <c r="E11" i="52"/>
  <c r="F33" i="54" s="1"/>
  <c r="D33" i="54"/>
  <c r="E8" i="47"/>
  <c r="F11" i="54" s="1"/>
  <c r="E10" i="47"/>
  <c r="F13" i="54" s="1"/>
  <c r="J19" i="48"/>
  <c r="D15" i="54"/>
  <c r="E11" i="49"/>
  <c r="F22" i="54" s="1"/>
  <c r="D22" i="54"/>
  <c r="J19" i="53"/>
  <c r="K18" i="53" s="1"/>
  <c r="D7" i="54"/>
  <c r="I7" i="52"/>
  <c r="H29" i="54" s="1"/>
  <c r="G29" i="54"/>
  <c r="I7" i="48"/>
  <c r="H14" i="54" s="1"/>
  <c r="G14" i="54"/>
  <c r="I7" i="51"/>
  <c r="H24" i="54" s="1"/>
  <c r="G24" i="54"/>
  <c r="I7" i="47"/>
  <c r="H10" i="54" s="1"/>
  <c r="G10" i="54"/>
  <c r="I7" i="49"/>
  <c r="H18" i="54" s="1"/>
  <c r="G18" i="54"/>
  <c r="I7" i="53"/>
  <c r="H6" i="54" s="1"/>
  <c r="G6" i="54"/>
  <c r="K27" i="52"/>
  <c r="K24" i="53"/>
  <c r="E22" i="52"/>
  <c r="E20" i="53"/>
  <c r="K32" i="53"/>
  <c r="K35" i="53"/>
  <c r="K33" i="53"/>
  <c r="K23" i="53"/>
  <c r="K25" i="53"/>
  <c r="K30" i="53"/>
  <c r="E35" i="53"/>
  <c r="E36" i="53" s="1"/>
  <c r="E25" i="53"/>
  <c r="K42" i="53"/>
  <c r="K31" i="53"/>
  <c r="E8" i="53"/>
  <c r="F7" i="54" s="1"/>
  <c r="E9" i="53"/>
  <c r="F8" i="54" s="1"/>
  <c r="K16" i="53"/>
  <c r="K32" i="52"/>
  <c r="K34" i="52"/>
  <c r="K37" i="52"/>
  <c r="E38" i="52"/>
  <c r="K35" i="52"/>
  <c r="K33" i="52"/>
  <c r="K25" i="52"/>
  <c r="K26" i="52"/>
  <c r="E22" i="51"/>
  <c r="E38" i="51"/>
  <c r="K34" i="51"/>
  <c r="K37" i="51"/>
  <c r="E27" i="51"/>
  <c r="E34" i="50"/>
  <c r="K15" i="50"/>
  <c r="K16" i="47"/>
  <c r="E20" i="47"/>
  <c r="K44" i="51"/>
  <c r="K33" i="47"/>
  <c r="K35" i="51"/>
  <c r="K25" i="51"/>
  <c r="K32" i="51"/>
  <c r="K26" i="51"/>
  <c r="K33" i="51"/>
  <c r="K27" i="51"/>
  <c r="E17" i="50"/>
  <c r="E22" i="48"/>
  <c r="K25" i="48"/>
  <c r="K16" i="48"/>
  <c r="E36" i="49"/>
  <c r="E38" i="49" s="1"/>
  <c r="E35" i="47"/>
  <c r="E25" i="47"/>
  <c r="K31" i="47"/>
  <c r="E38" i="48"/>
  <c r="D26" i="48"/>
  <c r="E26" i="48" s="1"/>
  <c r="E27" i="48" s="1"/>
  <c r="K25" i="49"/>
  <c r="K24" i="48"/>
  <c r="E26" i="49"/>
  <c r="K34" i="49"/>
  <c r="E21" i="49"/>
  <c r="K24" i="49"/>
  <c r="K26" i="49"/>
  <c r="K31" i="49"/>
  <c r="K33" i="49"/>
  <c r="K36" i="49"/>
  <c r="K19" i="49"/>
  <c r="K43" i="49"/>
  <c r="K32" i="49"/>
  <c r="E10" i="49"/>
  <c r="F21" i="54" s="1"/>
  <c r="K17" i="49"/>
  <c r="K33" i="48"/>
  <c r="K23" i="48"/>
  <c r="K30" i="48"/>
  <c r="K32" i="48"/>
  <c r="K35" i="48"/>
  <c r="K18" i="48"/>
  <c r="K42" i="48"/>
  <c r="K31" i="48"/>
  <c r="E8" i="48"/>
  <c r="F15" i="54" s="1"/>
  <c r="E9" i="48"/>
  <c r="F16" i="54" s="1"/>
  <c r="K25" i="47"/>
  <c r="K23" i="47"/>
  <c r="K24" i="47"/>
  <c r="K30" i="47"/>
  <c r="K32" i="47"/>
  <c r="K35" i="47"/>
  <c r="E36" i="47"/>
  <c r="K42" i="47"/>
  <c r="E19" i="46"/>
  <c r="E21" i="46" s="1"/>
  <c r="E39" i="52" l="1"/>
  <c r="F7" i="52" s="1"/>
  <c r="K27" i="53"/>
  <c r="K20" i="47"/>
  <c r="E37" i="53"/>
  <c r="F7" i="53" s="1"/>
  <c r="K6" i="54" s="1"/>
  <c r="K20" i="53"/>
  <c r="K37" i="53"/>
  <c r="K29" i="52"/>
  <c r="K39" i="52"/>
  <c r="K39" i="51"/>
  <c r="E35" i="50"/>
  <c r="F7" i="50" s="1"/>
  <c r="K23" i="54" s="1"/>
  <c r="K29" i="51"/>
  <c r="K27" i="47"/>
  <c r="E39" i="51"/>
  <c r="F7" i="51" s="1"/>
  <c r="K24" i="54" s="1"/>
  <c r="E37" i="47"/>
  <c r="F7" i="47" s="1"/>
  <c r="E39" i="49"/>
  <c r="F7" i="49" s="1"/>
  <c r="K18" i="54" s="1"/>
  <c r="E39" i="48"/>
  <c r="F7" i="48" s="1"/>
  <c r="K14" i="54" s="1"/>
  <c r="K27" i="48"/>
  <c r="K37" i="47"/>
  <c r="K28" i="49"/>
  <c r="K37" i="48"/>
  <c r="K21" i="49"/>
  <c r="K38" i="49"/>
  <c r="K20" i="48"/>
  <c r="F8" i="52" l="1"/>
  <c r="K30" i="54" s="1"/>
  <c r="K29" i="54"/>
  <c r="G7" i="47"/>
  <c r="K10" i="54"/>
  <c r="J7" i="52"/>
  <c r="I29" i="54" s="1"/>
  <c r="G7" i="52"/>
  <c r="F10" i="52"/>
  <c r="F11" i="52"/>
  <c r="F9" i="53"/>
  <c r="F8" i="53"/>
  <c r="J7" i="53"/>
  <c r="I6" i="54" s="1"/>
  <c r="G7" i="53"/>
  <c r="F10" i="53"/>
  <c r="F10" i="51"/>
  <c r="K27" i="54" s="1"/>
  <c r="F11" i="51"/>
  <c r="K28" i="54" s="1"/>
  <c r="F9" i="47"/>
  <c r="F8" i="47"/>
  <c r="J7" i="47"/>
  <c r="I10" i="54" s="1"/>
  <c r="F10" i="47"/>
  <c r="F10" i="49"/>
  <c r="G7" i="49"/>
  <c r="F8" i="49"/>
  <c r="J7" i="49"/>
  <c r="I18" i="54" s="1"/>
  <c r="F11" i="49"/>
  <c r="J7" i="48"/>
  <c r="I14" i="54" s="1"/>
  <c r="F8" i="48"/>
  <c r="G7" i="48"/>
  <c r="H8" i="52" l="1"/>
  <c r="G30" i="54" s="1"/>
  <c r="G10" i="53"/>
  <c r="K9" i="54"/>
  <c r="H9" i="53"/>
  <c r="K8" i="54"/>
  <c r="H8" i="49"/>
  <c r="K19" i="54"/>
  <c r="H9" i="48"/>
  <c r="K16" i="54"/>
  <c r="G9" i="47"/>
  <c r="K12" i="54"/>
  <c r="J8" i="53"/>
  <c r="I7" i="54" s="1"/>
  <c r="K7" i="54"/>
  <c r="K7" i="52"/>
  <c r="J29" i="54" s="1"/>
  <c r="L29" i="54"/>
  <c r="H8" i="48"/>
  <c r="K15" i="54"/>
  <c r="H10" i="49"/>
  <c r="K21" i="54"/>
  <c r="G10" i="52"/>
  <c r="K32" i="54"/>
  <c r="K7" i="47"/>
  <c r="J10" i="54" s="1"/>
  <c r="L10" i="54"/>
  <c r="G10" i="47"/>
  <c r="K13" i="54"/>
  <c r="K7" i="48"/>
  <c r="J14" i="54" s="1"/>
  <c r="L14" i="54"/>
  <c r="H10" i="48"/>
  <c r="K17" i="54"/>
  <c r="J11" i="49"/>
  <c r="I22" i="54" s="1"/>
  <c r="K22" i="54"/>
  <c r="G8" i="47"/>
  <c r="K11" i="54"/>
  <c r="K7" i="49"/>
  <c r="J18" i="54" s="1"/>
  <c r="L18" i="54"/>
  <c r="K7" i="53"/>
  <c r="J6" i="54" s="1"/>
  <c r="L6" i="54"/>
  <c r="J11" i="52"/>
  <c r="I33" i="54" s="1"/>
  <c r="K33" i="54"/>
  <c r="G8" i="52"/>
  <c r="L30" i="54" s="1"/>
  <c r="H11" i="52"/>
  <c r="G11" i="52"/>
  <c r="H10" i="52"/>
  <c r="H8" i="53"/>
  <c r="J10" i="52"/>
  <c r="I32" i="54" s="1"/>
  <c r="G9" i="53"/>
  <c r="H10" i="53"/>
  <c r="J9" i="53"/>
  <c r="I8" i="54" s="1"/>
  <c r="J10" i="53"/>
  <c r="I9" i="54" s="1"/>
  <c r="G8" i="53"/>
  <c r="J9" i="48"/>
  <c r="I16" i="54" s="1"/>
  <c r="H9" i="47"/>
  <c r="G9" i="48"/>
  <c r="J9" i="47"/>
  <c r="I12" i="54" s="1"/>
  <c r="H8" i="47"/>
  <c r="J10" i="47"/>
  <c r="I13" i="54" s="1"/>
  <c r="J8" i="47"/>
  <c r="I11" i="54" s="1"/>
  <c r="H10" i="47"/>
  <c r="G8" i="49"/>
  <c r="L19" i="54" s="1"/>
  <c r="G10" i="49"/>
  <c r="G11" i="49"/>
  <c r="J10" i="49"/>
  <c r="I21" i="54" s="1"/>
  <c r="H11" i="49"/>
  <c r="J8" i="48"/>
  <c r="I15" i="54" s="1"/>
  <c r="G10" i="48"/>
  <c r="J10" i="48"/>
  <c r="I17" i="54" s="1"/>
  <c r="G8" i="48"/>
  <c r="I8" i="52" l="1"/>
  <c r="H30" i="54" s="1"/>
  <c r="I9" i="47"/>
  <c r="H12" i="54" s="1"/>
  <c r="G12" i="54"/>
  <c r="K8" i="47"/>
  <c r="J11" i="54" s="1"/>
  <c r="L11" i="54"/>
  <c r="I10" i="48"/>
  <c r="H17" i="54" s="1"/>
  <c r="G17" i="54"/>
  <c r="K10" i="47"/>
  <c r="J13" i="54" s="1"/>
  <c r="L13" i="54"/>
  <c r="K10" i="52"/>
  <c r="J32" i="54" s="1"/>
  <c r="L32" i="54"/>
  <c r="I8" i="48"/>
  <c r="H15" i="54" s="1"/>
  <c r="G15" i="54"/>
  <c r="I9" i="48"/>
  <c r="H16" i="54" s="1"/>
  <c r="G16" i="54"/>
  <c r="I9" i="53"/>
  <c r="H8" i="54" s="1"/>
  <c r="G8" i="54"/>
  <c r="K11" i="49"/>
  <c r="J22" i="54" s="1"/>
  <c r="L22" i="54"/>
  <c r="I11" i="52"/>
  <c r="H33" i="54" s="1"/>
  <c r="G33" i="54"/>
  <c r="K10" i="49"/>
  <c r="J21" i="54" s="1"/>
  <c r="L21" i="54"/>
  <c r="I8" i="53"/>
  <c r="H7" i="54" s="1"/>
  <c r="G7" i="54"/>
  <c r="K10" i="48"/>
  <c r="J17" i="54" s="1"/>
  <c r="L17" i="54"/>
  <c r="K9" i="48"/>
  <c r="J16" i="54" s="1"/>
  <c r="L16" i="54"/>
  <c r="I10" i="47"/>
  <c r="H13" i="54" s="1"/>
  <c r="G13" i="54"/>
  <c r="K8" i="53"/>
  <c r="J7" i="54" s="1"/>
  <c r="L7" i="54"/>
  <c r="K9" i="53"/>
  <c r="J8" i="54" s="1"/>
  <c r="L8" i="54"/>
  <c r="K11" i="52"/>
  <c r="J33" i="54" s="1"/>
  <c r="L33" i="54"/>
  <c r="I10" i="49"/>
  <c r="H21" i="54" s="1"/>
  <c r="G21" i="54"/>
  <c r="K9" i="47"/>
  <c r="J12" i="54" s="1"/>
  <c r="L12" i="54"/>
  <c r="I8" i="49"/>
  <c r="H19" i="54" s="1"/>
  <c r="G19" i="54"/>
  <c r="K10" i="53"/>
  <c r="J9" i="54" s="1"/>
  <c r="L9" i="54"/>
  <c r="K8" i="48"/>
  <c r="J15" i="54" s="1"/>
  <c r="L15" i="54"/>
  <c r="I11" i="49"/>
  <c r="H22" i="54" s="1"/>
  <c r="G22" i="54"/>
  <c r="I8" i="47"/>
  <c r="H11" i="54" s="1"/>
  <c r="G11" i="54"/>
  <c r="I10" i="53"/>
  <c r="H9" i="54" s="1"/>
  <c r="G9" i="54"/>
  <c r="I10" i="52"/>
  <c r="H32" i="54" s="1"/>
  <c r="G32" i="54"/>
  <c r="H7" i="50"/>
  <c r="G7" i="50"/>
  <c r="J7" i="50"/>
  <c r="I23" i="54" s="1"/>
  <c r="J7" i="51"/>
  <c r="I24" i="54" s="1"/>
  <c r="I7" i="50" l="1"/>
  <c r="H23" i="54" s="1"/>
  <c r="G23" i="54"/>
  <c r="K7" i="50"/>
  <c r="J23" i="54" s="1"/>
  <c r="L23" i="54"/>
  <c r="F8" i="51"/>
  <c r="K25" i="54" s="1"/>
  <c r="G7" i="51"/>
  <c r="K7" i="51" l="1"/>
  <c r="J24" i="54" s="1"/>
  <c r="L24" i="54"/>
  <c r="H10" i="51"/>
  <c r="G10" i="51"/>
  <c r="J10" i="51"/>
  <c r="I27" i="54" s="1"/>
  <c r="H8" i="51"/>
  <c r="G8" i="51"/>
  <c r="L25" i="54" s="1"/>
  <c r="G11" i="51"/>
  <c r="H11" i="51"/>
  <c r="J11" i="51"/>
  <c r="I28" i="54" s="1"/>
  <c r="K10" i="51" l="1"/>
  <c r="J27" i="54" s="1"/>
  <c r="L27" i="54"/>
  <c r="K11" i="51"/>
  <c r="J28" i="54" s="1"/>
  <c r="L28" i="54"/>
  <c r="I11" i="51"/>
  <c r="H28" i="54" s="1"/>
  <c r="G28" i="54"/>
  <c r="I8" i="51"/>
  <c r="H25" i="54" s="1"/>
  <c r="G25" i="54"/>
  <c r="I10" i="51"/>
  <c r="H27" i="54" s="1"/>
  <c r="G27" i="54"/>
</calcChain>
</file>

<file path=xl/sharedStrings.xml><?xml version="1.0" encoding="utf-8"?>
<sst xmlns="http://schemas.openxmlformats.org/spreadsheetml/2006/main" count="911" uniqueCount="259">
  <si>
    <t>TUTAR</t>
  </si>
  <si>
    <t>AMASYA DAMIZLIK 
SIĞIR YETİŞTİRİCİLERİ BİRLİĞİ</t>
  </si>
  <si>
    <t>Günlük Kira Bedeli</t>
  </si>
  <si>
    <t>Dönüm Kira Bedeli</t>
  </si>
  <si>
    <t>Dönüm Hizmet Bedeli</t>
  </si>
  <si>
    <t>Saat Hizmet Bedeli</t>
  </si>
  <si>
    <t>Tane Hizmet Bedeli</t>
  </si>
  <si>
    <t>Km Bedeli</t>
  </si>
  <si>
    <t>Üye Fiyatı</t>
  </si>
  <si>
    <t>Verilen Hizmet Türü</t>
  </si>
  <si>
    <t>DESTEK - İLETİŞİM</t>
  </si>
  <si>
    <t>adsyb@amasyadsyb.org</t>
  </si>
  <si>
    <t>www.amasyadsyb.org</t>
  </si>
  <si>
    <t xml:space="preserve"> </t>
  </si>
  <si>
    <t>Tiller</t>
  </si>
  <si>
    <t>Çizer</t>
  </si>
  <si>
    <t>Forza</t>
  </si>
  <si>
    <t>KURU OT</t>
  </si>
  <si>
    <t>TOPLAM</t>
  </si>
  <si>
    <t>Ekipman Adı</t>
  </si>
  <si>
    <t>Aday Üye Fiyatı</t>
  </si>
  <si>
    <t>Sıvı Kemre Vidanjör</t>
  </si>
  <si>
    <t>1100 TL</t>
  </si>
  <si>
    <t>1650 TL</t>
  </si>
  <si>
    <t>Katı Kemre Vidanjör</t>
  </si>
  <si>
    <t>1375 TL</t>
  </si>
  <si>
    <t>Römork</t>
  </si>
  <si>
    <t>1320 TL</t>
  </si>
  <si>
    <t>Silaj Biçme</t>
  </si>
  <si>
    <t>900 TL</t>
  </si>
  <si>
    <t>95 TL</t>
  </si>
  <si>
    <t>420 TL</t>
  </si>
  <si>
    <t>185 TL</t>
  </si>
  <si>
    <t>110 TL</t>
  </si>
  <si>
    <t>120 TL</t>
  </si>
  <si>
    <t>Ot Dağıtma</t>
  </si>
  <si>
    <t>195 TL</t>
  </si>
  <si>
    <t>Dip Kazan</t>
  </si>
  <si>
    <t>330 TL</t>
  </si>
  <si>
    <t>360 TL</t>
  </si>
  <si>
    <t>285 TL</t>
  </si>
  <si>
    <t>300 TL</t>
  </si>
  <si>
    <t>135 TL</t>
  </si>
  <si>
    <t>145 TL</t>
  </si>
  <si>
    <t>Vanvey</t>
  </si>
  <si>
    <t>230 TL</t>
  </si>
  <si>
    <t>245 TL</t>
  </si>
  <si>
    <t>Apollo</t>
  </si>
  <si>
    <t>305 TL</t>
  </si>
  <si>
    <t>320 TL</t>
  </si>
  <si>
    <t>Lazerli Tesviye</t>
  </si>
  <si>
    <t>3465 TL</t>
  </si>
  <si>
    <t>3850 TL</t>
  </si>
  <si>
    <t>Skreyper</t>
  </si>
  <si>
    <t>Silindir Balya</t>
  </si>
  <si>
    <t>350 TL</t>
  </si>
  <si>
    <t>Balya Streç</t>
  </si>
  <si>
    <t>Traktör Kepçe</t>
  </si>
  <si>
    <t>1430 TL</t>
  </si>
  <si>
    <t>1540 TL</t>
  </si>
  <si>
    <t>Jcb Yükleyici</t>
  </si>
  <si>
    <t>1760 TL</t>
  </si>
  <si>
    <t>Asistan Kepçe</t>
  </si>
  <si>
    <t>660 TL</t>
  </si>
  <si>
    <t>770 TL</t>
  </si>
  <si>
    <t>Hizmete Gidiş Bedeli</t>
  </si>
  <si>
    <t>45 TL</t>
  </si>
  <si>
    <t>50 TL</t>
  </si>
  <si>
    <t>Prizmatik Balya (120 x 90)</t>
  </si>
  <si>
    <t>1485 TL</t>
  </si>
  <si>
    <t>Prizmatik Balya (120 x 70)</t>
  </si>
  <si>
    <t>65 TL</t>
  </si>
  <si>
    <t>Sap Parçalama</t>
  </si>
  <si>
    <t>275 TL</t>
  </si>
  <si>
    <t>750 TL</t>
  </si>
  <si>
    <t>Paket Bedeli</t>
  </si>
  <si>
    <t>Arpa Ezme Kırma Bedeli</t>
  </si>
  <si>
    <t>1000 TL</t>
  </si>
  <si>
    <t>Amasya/ Merzifon/ Yolüstü köyü/ Makine parkı</t>
  </si>
  <si>
    <t>amasyadamizlik</t>
  </si>
  <si>
    <t>0543 284 9168</t>
  </si>
  <si>
    <t>ORTAK TARIM MAKİNE PARKI FİYAT LİSTESİ
27.10.2025</t>
  </si>
  <si>
    <t>DÖKME SİLAJ</t>
  </si>
  <si>
    <t>BEZELYE TOHUMU</t>
  </si>
  <si>
    <t>TRİTİKALE TOHUMU</t>
  </si>
  <si>
    <t>TABAN GÜBRESİ</t>
  </si>
  <si>
    <t>GÜBRE SERPME</t>
  </si>
  <si>
    <t>SULAMA İŞÇİLİĞİ</t>
  </si>
  <si>
    <t>OT BİÇME</t>
  </si>
  <si>
    <t>OT TOPLAMA</t>
  </si>
  <si>
    <t>TEK YILLIK YEM BİTKİSİ DESTEĞİ</t>
  </si>
  <si>
    <t>PLANLI ÜRETİM DESTEĞİ</t>
  </si>
  <si>
    <t>SERTİFİKALI TOHUM KULLANIM DESTEĞİ</t>
  </si>
  <si>
    <t>MERDANE</t>
  </si>
  <si>
    <t>TON Bedeli</t>
  </si>
  <si>
    <t>DANE AYÇİÇEĞİ</t>
  </si>
  <si>
    <t>BİRİM</t>
  </si>
  <si>
    <t>SIKIŞTIRMA BEDELİ (TON)</t>
  </si>
  <si>
    <t>ÜST GÜBRESİ</t>
  </si>
  <si>
    <t>TOPRAK HAZIRLAMA VE EKİM GİDERLERİ TL/DEKAR</t>
  </si>
  <si>
    <t>PULLUK İLE İŞLEME</t>
  </si>
  <si>
    <t>ROTAVATÖR ÇEKME</t>
  </si>
  <si>
    <t>TOHUM EKME</t>
  </si>
  <si>
    <t>TOHUM GİDERLERİ</t>
  </si>
  <si>
    <t>MİKTAR, KG/DEKAR</t>
  </si>
  <si>
    <t>FİYAT TL/KG</t>
  </si>
  <si>
    <t>-</t>
  </si>
  <si>
    <t>TOHUMLAR</t>
  </si>
  <si>
    <t>ARAZİ KİRA BEDELİ, TL/DEKAR</t>
  </si>
  <si>
    <t>TL/DEKAR</t>
  </si>
  <si>
    <t>İŞLER</t>
  </si>
  <si>
    <t>YETİŞTİRME GİDERLERİ, TL/DEKAR</t>
  </si>
  <si>
    <t xml:space="preserve">YABANCI OT İLACI </t>
  </si>
  <si>
    <t>YOK</t>
  </si>
  <si>
    <t>İLAÇ UYGULAMA</t>
  </si>
  <si>
    <t>SU ÜCRETİ</t>
  </si>
  <si>
    <t>TL/DÖNÜM</t>
  </si>
  <si>
    <t>KAÇ DEFA</t>
  </si>
  <si>
    <t>BALYA SAYISI</t>
  </si>
  <si>
    <t>GİDERLER TOPLAMI</t>
  </si>
  <si>
    <t>TARIMSAL DESTEKLEME TUTARI, TL DEKAR</t>
  </si>
  <si>
    <t>YEŞİL OT</t>
  </si>
  <si>
    <t>İŞ</t>
  </si>
  <si>
    <t>FİYAT</t>
  </si>
  <si>
    <t>PAKET SİLAJ</t>
  </si>
  <si>
    <t>SİLAJ BİÇME, TL/DEKAR</t>
  </si>
  <si>
    <t>SİLAJ PAKETLEME, TL/TON</t>
  </si>
  <si>
    <t xml:space="preserve">BALYA SAYISI </t>
  </si>
  <si>
    <t>DÖKME SİLAJ İÇİN YAPILAN HARCAMALAR</t>
  </si>
  <si>
    <t>BRANDA, TL/m²</t>
  </si>
  <si>
    <r>
      <t>SİLAJ ÇUKURU AMORTİSMANI YA DA HAZIRLIK, TON/m</t>
    </r>
    <r>
      <rPr>
        <vertAlign val="superscript"/>
        <sz val="12"/>
        <color theme="1"/>
        <rFont val="Arial"/>
        <family val="2"/>
        <charset val="162"/>
      </rPr>
      <t>3</t>
    </r>
  </si>
  <si>
    <t>BRANDA MİKTARI, TON/m²</t>
  </si>
  <si>
    <t>KURU OT İÇİN HASAT</t>
  </si>
  <si>
    <t>DESTEKLER TOPLAMI</t>
  </si>
  <si>
    <t>DİP KAZAN (DERİN PATLATMA)</t>
  </si>
  <si>
    <t>ELDE EDİLEBİLECEK ÜRÜNLER</t>
  </si>
  <si>
    <t>YEŞİL OTUN DÖNÜŞÜM ORANI</t>
  </si>
  <si>
    <t>TOPLAM SATIŞ DEĞERİ  TL/DEKAR</t>
  </si>
  <si>
    <t>MALİYET, TL/KG</t>
  </si>
  <si>
    <t>TOP. HAR (TH)</t>
  </si>
  <si>
    <t>TOP HAR -TAR DES</t>
  </si>
  <si>
    <t>NET GELİR , KAR,TL/DEKAR</t>
  </si>
  <si>
    <t>TAR. DES-TEK HARİÇ</t>
  </si>
  <si>
    <t>TAR. DES- TEK DAHİL</t>
  </si>
  <si>
    <t>TOPRAK İŞLEME, TOHUM, YETİŞTİRME VE HASAT GİDERLERİ</t>
  </si>
  <si>
    <t>ELDE EDİLECEK ÜRÜNLERİN ÜRETİM MİKTARI, SATIŞ FİYATI VE SAĞLANAN GELİR</t>
  </si>
  <si>
    <t>HARCAMALAR, KAR VE MALİYET</t>
  </si>
  <si>
    <t>HARCAMALAR , TL/DEKAR</t>
  </si>
  <si>
    <t xml:space="preserve">TOPLAM </t>
  </si>
  <si>
    <t>NET(TOPLAM -TAR DES)</t>
  </si>
  <si>
    <t xml:space="preserve">HASATA KARAR VERİLDİKTEN SONRA ELDE EDİLECEK ÜRÜNE ÖZEL HARCAMALAR </t>
  </si>
  <si>
    <t>BİR YILA YANSIMA</t>
  </si>
  <si>
    <t>SATIŞ FİYATI, TL/KG</t>
  </si>
  <si>
    <t>ÇAPALAMA</t>
  </si>
  <si>
    <t>DANE MISIR+CALAZ</t>
  </si>
  <si>
    <t>MISIR TOHUMU</t>
  </si>
  <si>
    <t>YONCA TOHUMU</t>
  </si>
  <si>
    <t>AYÇİÇEĞİ TOHUMU</t>
  </si>
  <si>
    <t>ARPA TOHUMU</t>
  </si>
  <si>
    <t>DANE</t>
  </si>
  <si>
    <t>BUĞDAY TOHUMU</t>
  </si>
  <si>
    <t>KURUTMA/ÇEVİRME , TL/DEKAR</t>
  </si>
  <si>
    <t>KURU OT NAKLİYE, TL/BALYA</t>
  </si>
  <si>
    <t>VARSAYIMLAR</t>
  </si>
  <si>
    <t>ÖRNEĞİN BİÇİLEN MALZEMENİN KURUMADDESİ %27, SİLAJA İŞLENECEK %30 İSE SOLDURMAYLA OLUŞACAK KAYIP;</t>
  </si>
  <si>
    <t xml:space="preserve">OLUR. </t>
  </si>
  <si>
    <t>KISACA %27 KURUMADDELİ 1000 KG YEŞİL OTTAN SİLAJ İÇİN KULLANILACAK 1000*(1-0,10)=900 KG OLUR.</t>
  </si>
  <si>
    <t>BELİRLİ KURUMADDE DÜZEYİNDE BİÇİLEN OTTAN SİLAJ YAPILANA KADAR BAZI KAYIPLAR OLUR.</t>
  </si>
  <si>
    <t>B ELİRLİ BİE MİKTAR MALZEME, ÖRNEĞİN 25 TON, SİLAJ OLARAK PAKETLENDİĞİNDE VEYA SİLAJ ÇUKURUNDA SIŞIŞTIRILDIĞINDA DA BAZI KAYIPLAR OLUR:</t>
  </si>
  <si>
    <t>PAKET SİLAJDA SIZINTI OLMAZSA KAYIP %5-6 CİVARINDA KALIR.</t>
  </si>
  <si>
    <t xml:space="preserve">YUKARIDAKİ NEDENLERLE BİÇİLEN MALZEME , SİLOLANAN MALZEME VE YEDİRİLEN MALZEME FFARKLI AĞIRLIKLARDA OLACAKTIR. </t>
  </si>
  <si>
    <t xml:space="preserve">MALİYET HESAPLANIRKEN YEDİRİLECEK SİLA MİKTARI ESAS ALINMALIDIR. </t>
  </si>
  <si>
    <t>SİLOLANAN MİKTAR VE SİLAJ MİKTARI HESAPLANMIŞTIR.</t>
  </si>
  <si>
    <t xml:space="preserve">AŞAĞIDA %28 KURU MADDE İÇERECEK ŞEKİLDE BİÇİLEN VE %32 KURUMADDE İÇERECEK KADAR SOLDURULAN 10 TON MALZEMEDEN </t>
  </si>
  <si>
    <t>BİÇİLEN</t>
  </si>
  <si>
    <t xml:space="preserve">SİLOLANAN </t>
  </si>
  <si>
    <t>ELDE EDİLEN SİLAJ</t>
  </si>
  <si>
    <t>PAKET</t>
  </si>
  <si>
    <t>YEŞİL AKSAM</t>
  </si>
  <si>
    <t>ÇUKURA YAPILAN SİLAJDA İSE HEM SIZINTI HEMDE KENARLARDAKİ BOZULMA NEDENİYLE KAYIP %8-%12 KADAR OLABİLİR.</t>
  </si>
  <si>
    <t>AĞIRLIK</t>
  </si>
  <si>
    <t>KURU MADDE</t>
  </si>
  <si>
    <t>SİLOLAMADA KAYIP</t>
  </si>
  <si>
    <t>BİÇİLENE GÖRE TOPLAM KAYIP</t>
  </si>
  <si>
    <t>BİÇİLENE GÖRE KABUL EDİLEBİLİR KAYIP</t>
  </si>
  <si>
    <t>BİÇİLDİĞİNDE %30 KURU MADDELİ 1000 KG YEŞİL OTTAN KURU MADDESİ %88 OLAN KAÇ KG KURU OT ELDE EDİLİR.</t>
  </si>
  <si>
    <t>KURU OT MİKTARI=1000*,30/,88=340 KG</t>
  </si>
  <si>
    <t>YEŞİL OTUN KURU OTA DÖNÜŞÜM KATSAYISI %32--%35 ALINABİLİR..</t>
  </si>
  <si>
    <t>KURU OT BALYASI  İÇİN EK HARCAMALAR</t>
  </si>
  <si>
    <t>PAKET SİLAJ İÇİN  EK HARCAMALAR</t>
  </si>
  <si>
    <t>PAKET SİLAJ NAKLİYE, TL/TON</t>
  </si>
  <si>
    <t>DÖKME SİLAJ NAKLİYE, TL/TON</t>
  </si>
  <si>
    <t>ELDE EDİLECEK ÜRÜNLER</t>
  </si>
  <si>
    <t xml:space="preserve">MACAR FİĞİ + TRİTİKALE KARIŞIMI _KABA YEM      </t>
  </si>
  <si>
    <t>CALAZ</t>
  </si>
  <si>
    <t>ELDE EDİLEBECEK ÜRÜN</t>
  </si>
  <si>
    <t>AYÇİÇEĞİ HASAT</t>
  </si>
  <si>
    <t xml:space="preserve">DANE AYÇİÇEĞİ </t>
  </si>
  <si>
    <t>AYÇİÇEĞİ NAKLİYE, TL TON</t>
  </si>
  <si>
    <t>VERİM, KG/DEKAR</t>
  </si>
  <si>
    <t xml:space="preserve">DANE MISIR VE CALAZI  İLE MISIR SİLAJI _KABA YEM                    </t>
  </si>
  <si>
    <t xml:space="preserve">  DANE AYÇİÇEĞİ ÜRETİMİ        </t>
  </si>
  <si>
    <t>DANE BUĞDAY+SAP</t>
  </si>
  <si>
    <t>SAP İÇİN EK HARCAMALAR</t>
  </si>
  <si>
    <t>DANE VE SAP İÇİN HASAT</t>
  </si>
  <si>
    <t xml:space="preserve">DANE ARPA VE ARPA SAPI İLE ARPA HASILI SİLAJI _KABA YEM          </t>
  </si>
  <si>
    <t xml:space="preserve">DANE BUĞDAY VE BUĞDAY SAPI İLE BUĞDAY HASILI SİLAJI _KABA YEM </t>
  </si>
  <si>
    <t>SAP</t>
  </si>
  <si>
    <t>DANE ARPA+SAP</t>
  </si>
  <si>
    <t>FİĞ TOHUMU</t>
  </si>
  <si>
    <t>KG</t>
  </si>
  <si>
    <t>ADET</t>
  </si>
  <si>
    <t>DA</t>
  </si>
  <si>
    <t>Sütun7</t>
  </si>
  <si>
    <t>TON</t>
  </si>
  <si>
    <t>KURU BALYA YAPIMI, TL/TON</t>
  </si>
  <si>
    <t>ADI</t>
  </si>
  <si>
    <r>
      <t>SİLAJ ÇUKURU AMORTİSMANI YA DA HAZIRLIK, TON/m</t>
    </r>
    <r>
      <rPr>
        <vertAlign val="superscript"/>
        <sz val="14"/>
        <color theme="1"/>
        <rFont val="Arial"/>
        <family val="2"/>
        <charset val="162"/>
      </rPr>
      <t>3</t>
    </r>
  </si>
  <si>
    <t>GÜBRE VE GÜBRELEME</t>
  </si>
  <si>
    <t>TOPRAK İŞLEME VE EKİM</t>
  </si>
  <si>
    <t>ÇAPA, İLAÇ, SULAMA</t>
  </si>
  <si>
    <t>KURU OT BALYA YAPIMI</t>
  </si>
  <si>
    <t>TL/TON</t>
  </si>
  <si>
    <t>MİKTAR, ADET/DEKAR</t>
  </si>
  <si>
    <t>TL/DA</t>
  </si>
  <si>
    <t>ARPA-BUĞ</t>
  </si>
  <si>
    <t>DİĞER</t>
  </si>
  <si>
    <t>KURU OT NAKLİYE, TL TON</t>
  </si>
  <si>
    <t>SAP NAKLİYE, TL/TON</t>
  </si>
  <si>
    <t>DANE MISIR BİÇİM BEDELİ, TL/DA</t>
  </si>
  <si>
    <t>BUĞDAY BİÇİM BEDELİ, TL/DA</t>
  </si>
  <si>
    <t>ARPA BİÇİM BEDELİ, TL/DA</t>
  </si>
  <si>
    <t>BİÇME, TOPLAMA, BALYALAMA</t>
  </si>
  <si>
    <t>NAKLİYE</t>
  </si>
  <si>
    <t>SİLAJ ÇUKURU</t>
  </si>
  <si>
    <t xml:space="preserve">YEM BEZELYESİ + TRİTİKALE KARIŞIMI _KABA YEM      </t>
  </si>
  <si>
    <t xml:space="preserve">YONCA _KABA YEM  </t>
  </si>
  <si>
    <t xml:space="preserve">YONCA _KABA YEM    </t>
  </si>
  <si>
    <t>ANA ÜRÜN</t>
  </si>
  <si>
    <t>YEM</t>
  </si>
  <si>
    <t>ELDE EDİLECEK ÜRÜNLERİN ÜRETİM MİKTARI, SATIŞ FİYATI VE DEĞERİ İLE SAĞLANAN NET GELİR</t>
  </si>
  <si>
    <t>HARCAMALAR VE MALİYET</t>
  </si>
  <si>
    <t>İNCELEYECEĞİNİZ ÜRÜNÜ SEÇİNİZ</t>
  </si>
  <si>
    <t xml:space="preserve">YEM BİTKİLERİ ÜRETİMİ MALİYET HESABI </t>
  </si>
  <si>
    <t>ÜRETİM UNSURLARI VE FİYATLAR</t>
  </si>
  <si>
    <t>165 TL</t>
  </si>
  <si>
    <t>375 TL</t>
  </si>
  <si>
    <t>Merdane</t>
  </si>
  <si>
    <t>Pulluk İle İşleme</t>
  </si>
  <si>
    <t>Tohum Ekme</t>
  </si>
  <si>
    <t>Ot Toplama</t>
  </si>
  <si>
    <t>Ot Biçme</t>
  </si>
  <si>
    <t>Rotavatör Çekme</t>
  </si>
  <si>
    <t>Yüklü Nakliye Bedeli</t>
  </si>
  <si>
    <t>İlaç Uygulama</t>
  </si>
  <si>
    <t>Gübre Serpme</t>
  </si>
  <si>
    <t>Silaj Paketleme, TL/TON</t>
  </si>
  <si>
    <t xml:space="preserve">İNOKULANT </t>
  </si>
  <si>
    <t>100 gram /50 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</si>
</sst>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\ &quot;₺&quot;"/>
    <numFmt numFmtId="165" formatCode="&quot;₺&quot;#,##0.00"/>
    <numFmt numFmtId="166" formatCode="0.00\ &quot;TL&quot;"/>
    <numFmt numFmtId="167" formatCode="0.0\ &quot;TL&quot;"/>
    <numFmt numFmtId="168" formatCode="0.0"/>
    <numFmt numFmtId="169" formatCode="0.000"/>
    <numFmt numFmtId="170" formatCode="0.0%"/>
    <numFmt numFmtId="171" formatCode="0\ &quot;TL&quot;"/>
    <numFmt numFmtId="172" formatCode="0.000\ &quot;TL&quot;"/>
    <numFmt numFmtId="173" formatCode="0\ &quot;KG&quot;"/>
  </numFmts>
  <fonts count="77" x14ac:knownFonts="1">
    <font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14"/>
      <color theme="1"/>
      <name val="Calibri"/>
      <family val="2"/>
      <charset val="162"/>
      <scheme val="minor"/>
    </font>
    <font>
      <i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5" tint="-0.249977111117893"/>
      <name val="Calibri"/>
      <family val="2"/>
      <charset val="162"/>
      <scheme val="minor"/>
    </font>
    <font>
      <b/>
      <sz val="12"/>
      <color theme="5" tint="-0.499984740745262"/>
      <name val="Calibri"/>
      <family val="2"/>
      <charset val="162"/>
      <scheme val="minor"/>
    </font>
    <font>
      <b/>
      <sz val="12"/>
      <color theme="9" tint="-0.499984740745262"/>
      <name val="Calibri"/>
      <family val="2"/>
      <charset val="162"/>
      <scheme val="minor"/>
    </font>
    <font>
      <b/>
      <sz val="12"/>
      <color theme="7" tint="-0.499984740745262"/>
      <name val="Calibri"/>
      <family val="2"/>
      <charset val="162"/>
      <scheme val="minor"/>
    </font>
    <font>
      <b/>
      <sz val="12"/>
      <color theme="4" tint="-0.499984740745262"/>
      <name val="Calibri"/>
      <family val="2"/>
      <charset val="162"/>
      <scheme val="minor"/>
    </font>
    <font>
      <sz val="11"/>
      <color theme="5" tint="-0.249977111117893"/>
      <name val="Calibri"/>
      <family val="2"/>
      <charset val="162"/>
      <scheme val="minor"/>
    </font>
    <font>
      <sz val="11"/>
      <color theme="1" tint="0.34998626667073579"/>
      <name val="Calibri"/>
      <family val="2"/>
      <charset val="162"/>
      <scheme val="minor"/>
    </font>
    <font>
      <b/>
      <sz val="13"/>
      <color theme="0" tint="-4.9989318521683403E-2"/>
      <name val="Calibri"/>
      <family val="2"/>
      <charset val="162"/>
      <scheme val="minor"/>
    </font>
    <font>
      <b/>
      <i/>
      <sz val="12"/>
      <color theme="1" tint="0.249977111117893"/>
      <name val="Calibri"/>
      <family val="2"/>
      <charset val="162"/>
      <scheme val="minor"/>
    </font>
    <font>
      <sz val="11"/>
      <color theme="1" tint="0.499984740745262"/>
      <name val="Calibri"/>
      <family val="2"/>
      <charset val="162"/>
      <scheme val="minor"/>
    </font>
    <font>
      <b/>
      <i/>
      <sz val="14"/>
      <color theme="8" tint="-0.499984740745262"/>
      <name val="Calibri"/>
      <family val="2"/>
      <charset val="162"/>
      <scheme val="minor"/>
    </font>
    <font>
      <b/>
      <sz val="12"/>
      <color theme="8" tint="-0.499984740745262"/>
      <name val="Calibri"/>
      <family val="2"/>
      <charset val="162"/>
      <scheme val="minor"/>
    </font>
    <font>
      <b/>
      <i/>
      <sz val="13"/>
      <color theme="8" tint="-0.499984740745262"/>
      <name val="Calibri"/>
      <family val="2"/>
      <charset val="162"/>
      <scheme val="minor"/>
    </font>
    <font>
      <b/>
      <i/>
      <sz val="12"/>
      <color theme="8" tint="-0.499984740745262"/>
      <name val="Calibri"/>
      <family val="2"/>
      <charset val="162"/>
      <scheme val="minor"/>
    </font>
    <font>
      <i/>
      <sz val="12"/>
      <color theme="5" tint="-0.249977111117893"/>
      <name val="Calibri"/>
      <family val="2"/>
      <charset val="162"/>
      <scheme val="minor"/>
    </font>
    <font>
      <sz val="12"/>
      <color theme="5" tint="-0.249977111117893"/>
      <name val="Calibri"/>
      <family val="2"/>
      <charset val="162"/>
      <scheme val="minor"/>
    </font>
    <font>
      <sz val="14"/>
      <color theme="5" tint="-0.249977111117893"/>
      <name val="Calibri"/>
      <family val="2"/>
      <charset val="162"/>
      <scheme val="minor"/>
    </font>
    <font>
      <b/>
      <i/>
      <sz val="11"/>
      <color theme="8" tint="-0.499984740745262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303C18"/>
      <name val="Calibri"/>
      <family val="2"/>
      <charset val="162"/>
      <scheme val="minor"/>
    </font>
    <font>
      <b/>
      <sz val="11"/>
      <color theme="5" tint="-0.249977111117893"/>
      <name val="Calibri"/>
      <family val="2"/>
      <charset val="162"/>
      <scheme val="minor"/>
    </font>
    <font>
      <b/>
      <i/>
      <sz val="18"/>
      <color theme="6" tint="-0.499984740745262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8"/>
      <color theme="0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6"/>
      <name val="Calibri"/>
      <family val="2"/>
      <charset val="162"/>
      <scheme val="minor"/>
    </font>
    <font>
      <sz val="16"/>
      <color theme="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i/>
      <sz val="16"/>
      <name val="Calibri"/>
      <family val="2"/>
      <charset val="162"/>
      <scheme val="minor"/>
    </font>
    <font>
      <b/>
      <i/>
      <sz val="12"/>
      <name val="Calibri"/>
      <family val="2"/>
      <charset val="162"/>
      <scheme val="minor"/>
    </font>
    <font>
      <sz val="18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1"/>
      <name val="Arial"/>
      <family val="2"/>
      <charset val="162"/>
    </font>
    <font>
      <sz val="16"/>
      <name val="Arial"/>
      <family val="2"/>
      <charset val="162"/>
    </font>
    <font>
      <sz val="16"/>
      <color theme="1"/>
      <name val="Arial"/>
      <family val="2"/>
      <charset val="162"/>
    </font>
    <font>
      <sz val="14"/>
      <name val="Arial"/>
      <family val="2"/>
      <charset val="162"/>
    </font>
    <font>
      <sz val="14"/>
      <color theme="1"/>
      <name val="Arial"/>
      <family val="2"/>
      <charset val="162"/>
    </font>
    <font>
      <sz val="12"/>
      <color theme="1"/>
      <name val="Arial"/>
      <family val="2"/>
      <charset val="162"/>
    </font>
    <font>
      <vertAlign val="superscript"/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sz val="14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6"/>
      <color theme="1"/>
      <name val="Arial"/>
      <family val="2"/>
      <charset val="162"/>
    </font>
    <font>
      <b/>
      <sz val="18"/>
      <color theme="1"/>
      <name val="Arial"/>
      <family val="2"/>
      <charset val="162"/>
    </font>
    <font>
      <b/>
      <sz val="20"/>
      <color theme="1"/>
      <name val="Arial"/>
      <family val="2"/>
      <charset val="162"/>
    </font>
    <font>
      <b/>
      <i/>
      <sz val="12"/>
      <name val="Arial"/>
      <family val="2"/>
      <charset val="162"/>
    </font>
    <font>
      <b/>
      <sz val="14"/>
      <color theme="1"/>
      <name val="Arial"/>
      <family val="2"/>
      <charset val="162"/>
    </font>
    <font>
      <sz val="12"/>
      <name val="Arial"/>
      <family val="2"/>
      <charset val="162"/>
    </font>
    <font>
      <b/>
      <sz val="12"/>
      <name val="Arial"/>
      <family val="2"/>
      <charset val="162"/>
    </font>
    <font>
      <b/>
      <i/>
      <sz val="10"/>
      <name val="Arial"/>
      <family val="2"/>
      <charset val="162"/>
    </font>
    <font>
      <b/>
      <sz val="14"/>
      <name val="Arial"/>
      <family val="2"/>
      <charset val="162"/>
    </font>
    <font>
      <b/>
      <sz val="11"/>
      <name val="Arial"/>
      <family val="2"/>
      <charset val="162"/>
    </font>
    <font>
      <b/>
      <i/>
      <sz val="14"/>
      <color theme="1"/>
      <name val="Arial"/>
      <family val="2"/>
      <charset val="162"/>
    </font>
    <font>
      <vertAlign val="superscript"/>
      <sz val="14"/>
      <color theme="1"/>
      <name val="Arial"/>
      <family val="2"/>
      <charset val="162"/>
    </font>
    <font>
      <sz val="11"/>
      <name val="Arial"/>
      <family val="2"/>
      <charset val="162"/>
    </font>
    <font>
      <b/>
      <sz val="12"/>
      <color rgb="FF403152"/>
      <name val="Calibri"/>
      <family val="2"/>
      <charset val="162"/>
      <scheme val="minor"/>
    </font>
    <font>
      <sz val="14"/>
      <color rgb="FFFF0000"/>
      <name val="Arial"/>
      <family val="2"/>
      <charset val="162"/>
    </font>
    <font>
      <sz val="16"/>
      <color rgb="FFFF0000"/>
      <name val="Arial"/>
      <family val="2"/>
      <charset val="162"/>
    </font>
    <font>
      <sz val="16"/>
      <color rgb="FFFF0000"/>
      <name val="Calibri"/>
      <family val="2"/>
      <charset val="162"/>
      <scheme val="minor"/>
    </font>
    <font>
      <sz val="18"/>
      <color rgb="FFFF0000"/>
      <name val="Calibri"/>
      <family val="2"/>
      <charset val="162"/>
      <scheme val="minor"/>
    </font>
    <font>
      <b/>
      <sz val="12"/>
      <color rgb="FFFF0000"/>
      <name val="Arial"/>
      <family val="2"/>
      <charset val="162"/>
    </font>
    <font>
      <sz val="11"/>
      <color rgb="FFFF0000"/>
      <name val="Arial"/>
      <family val="2"/>
      <charset val="162"/>
    </font>
    <font>
      <sz val="12"/>
      <color rgb="FFFF0000"/>
      <name val="Arial"/>
      <family val="2"/>
      <charset val="162"/>
    </font>
    <font>
      <b/>
      <sz val="14"/>
      <color rgb="FFFF0000"/>
      <name val="Arial"/>
      <family val="2"/>
      <charset val="162"/>
    </font>
  </fonts>
  <fills count="37">
    <fill>
      <patternFill patternType="none"/>
    </fill>
    <fill>
      <patternFill patternType="gray125"/>
    </fill>
    <fill>
      <patternFill patternType="solid">
        <fgColor rgb="FF8CAF4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0.59999389629810485"/>
        <bgColor theme="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theme="6"/>
      </patternFill>
    </fill>
    <fill>
      <patternFill patternType="solid">
        <fgColor theme="6" tint="0.39997558519241921"/>
        <bgColor theme="0" tint="-0.1499984740745262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theme="0" tint="-0.149998474074526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/>
      <right/>
      <top style="thin">
        <color theme="6" tint="-0.249977111117893"/>
      </top>
      <bottom/>
      <diagonal/>
    </border>
    <border>
      <left/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/>
      <top/>
      <bottom/>
      <diagonal/>
    </border>
    <border>
      <left/>
      <right style="thin">
        <color theme="6" tint="-0.249977111117893"/>
      </right>
      <top/>
      <bottom/>
      <diagonal/>
    </border>
    <border>
      <left style="thin">
        <color theme="6" tint="-0.249977111117893"/>
      </left>
      <right/>
      <top/>
      <bottom style="thin">
        <color theme="6" tint="-0.249977111117893"/>
      </bottom>
      <diagonal/>
    </border>
    <border>
      <left/>
      <right/>
      <top/>
      <bottom style="thin">
        <color theme="6" tint="-0.249977111117893"/>
      </bottom>
      <diagonal/>
    </border>
    <border>
      <left/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9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2" fillId="0" borderId="0" applyNumberFormat="0" applyFill="0" applyBorder="0" applyAlignment="0" applyProtection="0"/>
    <xf numFmtId="9" fontId="44" fillId="0" borderId="0" applyFont="0" applyFill="0" applyBorder="0" applyAlignment="0" applyProtection="0"/>
  </cellStyleXfs>
  <cellXfs count="686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12" fillId="0" borderId="0" xfId="0" applyFont="1"/>
    <xf numFmtId="164" fontId="0" fillId="0" borderId="0" xfId="0" applyNumberFormat="1"/>
    <xf numFmtId="0" fontId="13" fillId="0" borderId="1" xfId="0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4" fillId="0" borderId="0" xfId="0" applyFont="1"/>
    <xf numFmtId="0" fontId="13" fillId="0" borderId="2" xfId="0" applyFont="1" applyBorder="1" applyAlignment="1">
      <alignment vertical="center" wrapText="1"/>
    </xf>
    <xf numFmtId="164" fontId="16" fillId="0" borderId="3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165" fontId="20" fillId="0" borderId="3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0" xfId="0" applyFont="1"/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164" fontId="16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164" fontId="18" fillId="0" borderId="1" xfId="0" applyNumberFormat="1" applyFont="1" applyBorder="1" applyAlignment="1">
      <alignment vertical="center"/>
    </xf>
    <xf numFmtId="0" fontId="21" fillId="0" borderId="0" xfId="0" applyFont="1"/>
    <xf numFmtId="0" fontId="22" fillId="0" borderId="0" xfId="0" applyFont="1"/>
    <xf numFmtId="164" fontId="23" fillId="0" borderId="0" xfId="0" applyNumberFormat="1" applyFont="1"/>
    <xf numFmtId="164" fontId="21" fillId="0" borderId="0" xfId="0" applyNumberFormat="1" applyFont="1"/>
    <xf numFmtId="0" fontId="19" fillId="0" borderId="1" xfId="0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vertical="center"/>
    </xf>
    <xf numFmtId="0" fontId="24" fillId="0" borderId="0" xfId="0" applyFont="1"/>
    <xf numFmtId="0" fontId="0" fillId="0" borderId="6" xfId="0" applyBorder="1"/>
    <xf numFmtId="0" fontId="0" fillId="7" borderId="0" xfId="0" applyFill="1" applyAlignment="1">
      <alignment horizontal="center" vertical="center"/>
    </xf>
    <xf numFmtId="0" fontId="0" fillId="7" borderId="0" xfId="0" applyFill="1"/>
    <xf numFmtId="0" fontId="25" fillId="7" borderId="0" xfId="0" applyFont="1" applyFill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5" fillId="7" borderId="0" xfId="0" applyFont="1" applyFill="1"/>
    <xf numFmtId="0" fontId="26" fillId="7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30" fillId="7" borderId="0" xfId="0" applyFont="1" applyFill="1"/>
    <xf numFmtId="0" fontId="34" fillId="7" borderId="0" xfId="0" applyFont="1" applyFill="1" applyAlignment="1">
      <alignment horizontal="center" vertical="center"/>
    </xf>
    <xf numFmtId="0" fontId="35" fillId="7" borderId="0" xfId="0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164" fontId="37" fillId="0" borderId="0" xfId="0" applyNumberFormat="1" applyFont="1" applyAlignment="1">
      <alignment horizontal="center" vertical="center"/>
    </xf>
    <xf numFmtId="167" fontId="37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22" borderId="13" xfId="0" applyFont="1" applyFill="1" applyBorder="1" applyAlignment="1">
      <alignment horizontal="center" vertical="center"/>
    </xf>
    <xf numFmtId="167" fontId="47" fillId="22" borderId="13" xfId="0" applyNumberFormat="1" applyFont="1" applyFill="1" applyBorder="1" applyAlignment="1">
      <alignment horizontal="center" vertical="center"/>
    </xf>
    <xf numFmtId="168" fontId="47" fillId="22" borderId="13" xfId="0" applyNumberFormat="1" applyFont="1" applyFill="1" applyBorder="1" applyAlignment="1">
      <alignment horizontal="center" vertical="center"/>
    </xf>
    <xf numFmtId="171" fontId="36" fillId="22" borderId="13" xfId="0" applyNumberFormat="1" applyFont="1" applyFill="1" applyBorder="1" applyAlignment="1">
      <alignment horizontal="center" vertical="center"/>
    </xf>
    <xf numFmtId="169" fontId="36" fillId="22" borderId="13" xfId="0" applyNumberFormat="1" applyFont="1" applyFill="1" applyBorder="1" applyAlignment="1">
      <alignment horizontal="center" vertical="center"/>
    </xf>
    <xf numFmtId="171" fontId="47" fillId="22" borderId="13" xfId="0" applyNumberFormat="1" applyFont="1" applyFill="1" applyBorder="1" applyAlignment="1">
      <alignment horizontal="center" vertical="center"/>
    </xf>
    <xf numFmtId="167" fontId="38" fillId="9" borderId="18" xfId="0" applyNumberFormat="1" applyFont="1" applyFill="1" applyBorder="1" applyAlignment="1">
      <alignment horizontal="center" vertical="center"/>
    </xf>
    <xf numFmtId="168" fontId="49" fillId="22" borderId="13" xfId="0" applyNumberFormat="1" applyFont="1" applyFill="1" applyBorder="1" applyAlignment="1">
      <alignment horizontal="center" vertical="center"/>
    </xf>
    <xf numFmtId="167" fontId="38" fillId="19" borderId="18" xfId="0" applyNumberFormat="1" applyFont="1" applyFill="1" applyBorder="1" applyAlignment="1">
      <alignment horizontal="center" vertical="center"/>
    </xf>
    <xf numFmtId="167" fontId="38" fillId="12" borderId="13" xfId="0" applyNumberFormat="1" applyFont="1" applyFill="1" applyBorder="1" applyAlignment="1">
      <alignment horizontal="center" vertical="center" wrapText="1"/>
    </xf>
    <xf numFmtId="167" fontId="38" fillId="11" borderId="13" xfId="0" applyNumberFormat="1" applyFont="1" applyFill="1" applyBorder="1" applyAlignment="1">
      <alignment horizontal="center" vertical="center" wrapText="1"/>
    </xf>
    <xf numFmtId="166" fontId="38" fillId="18" borderId="14" xfId="0" applyNumberFormat="1" applyFont="1" applyFill="1" applyBorder="1" applyAlignment="1">
      <alignment horizontal="center" vertical="center" wrapText="1"/>
    </xf>
    <xf numFmtId="167" fontId="38" fillId="18" borderId="14" xfId="0" applyNumberFormat="1" applyFont="1" applyFill="1" applyBorder="1" applyAlignment="1">
      <alignment horizontal="center" vertical="center" wrapText="1"/>
    </xf>
    <xf numFmtId="0" fontId="49" fillId="6" borderId="13" xfId="0" applyFont="1" applyFill="1" applyBorder="1" applyAlignment="1">
      <alignment horizontal="center" vertical="center"/>
    </xf>
    <xf numFmtId="167" fontId="49" fillId="6" borderId="13" xfId="0" applyNumberFormat="1" applyFont="1" applyFill="1" applyBorder="1" applyAlignment="1">
      <alignment horizontal="center" vertical="center"/>
    </xf>
    <xf numFmtId="168" fontId="45" fillId="21" borderId="0" xfId="0" applyNumberFormat="1" applyFont="1" applyFill="1" applyAlignment="1">
      <alignment horizontal="center" vertical="center"/>
    </xf>
    <xf numFmtId="0" fontId="3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36" fillId="5" borderId="0" xfId="0" applyFont="1" applyFill="1" applyAlignment="1" applyProtection="1">
      <alignment horizontal="center" vertical="center"/>
      <protection locked="0"/>
    </xf>
    <xf numFmtId="0" fontId="42" fillId="10" borderId="13" xfId="0" applyFont="1" applyFill="1" applyBorder="1" applyAlignment="1" applyProtection="1">
      <alignment horizontal="center" vertical="center" wrapText="1"/>
      <protection locked="0"/>
    </xf>
    <xf numFmtId="0" fontId="41" fillId="10" borderId="13" xfId="0" applyFont="1" applyFill="1" applyBorder="1" applyAlignment="1" applyProtection="1">
      <alignment horizontal="center" vertical="center" wrapText="1"/>
      <protection locked="0"/>
    </xf>
    <xf numFmtId="0" fontId="52" fillId="11" borderId="13" xfId="0" applyFont="1" applyFill="1" applyBorder="1" applyAlignment="1" applyProtection="1">
      <alignment horizontal="center" vertical="center"/>
      <protection locked="0"/>
    </xf>
    <xf numFmtId="166" fontId="36" fillId="0" borderId="0" xfId="0" applyNumberFormat="1" applyFont="1" applyAlignment="1" applyProtection="1">
      <alignment horizontal="center" vertical="center"/>
      <protection locked="0"/>
    </xf>
    <xf numFmtId="0" fontId="36" fillId="7" borderId="0" xfId="0" applyFont="1" applyFill="1" applyAlignment="1" applyProtection="1">
      <alignment horizontal="center" vertical="center"/>
      <protection locked="0"/>
    </xf>
    <xf numFmtId="0" fontId="58" fillId="15" borderId="13" xfId="0" applyFont="1" applyFill="1" applyBorder="1" applyAlignment="1" applyProtection="1">
      <alignment horizontal="center" vertical="center" wrapText="1"/>
      <protection locked="0"/>
    </xf>
    <xf numFmtId="167" fontId="46" fillId="12" borderId="13" xfId="0" applyNumberFormat="1" applyFont="1" applyFill="1" applyBorder="1" applyAlignment="1">
      <alignment horizontal="center" vertical="center" wrapText="1"/>
    </xf>
    <xf numFmtId="168" fontId="49" fillId="20" borderId="13" xfId="0" applyNumberFormat="1" applyFont="1" applyFill="1" applyBorder="1" applyAlignment="1">
      <alignment horizontal="center" vertical="center"/>
    </xf>
    <xf numFmtId="9" fontId="0" fillId="0" borderId="0" xfId="2" applyFont="1"/>
    <xf numFmtId="9" fontId="0" fillId="0" borderId="0" xfId="0" applyNumberFormat="1"/>
    <xf numFmtId="170" fontId="0" fillId="0" borderId="0" xfId="2" applyNumberFormat="1" applyFont="1"/>
    <xf numFmtId="170" fontId="0" fillId="0" borderId="0" xfId="0" applyNumberFormat="1"/>
    <xf numFmtId="10" fontId="0" fillId="0" borderId="0" xfId="0" applyNumberFormat="1"/>
    <xf numFmtId="0" fontId="49" fillId="6" borderId="13" xfId="0" applyFont="1" applyFill="1" applyBorder="1" applyAlignment="1" applyProtection="1">
      <alignment vertical="center"/>
      <protection locked="0"/>
    </xf>
    <xf numFmtId="0" fontId="61" fillId="16" borderId="13" xfId="0" applyFont="1" applyFill="1" applyBorder="1" applyAlignment="1" applyProtection="1">
      <alignment horizontal="center" vertical="center"/>
      <protection locked="0"/>
    </xf>
    <xf numFmtId="169" fontId="36" fillId="0" borderId="0" xfId="0" applyNumberFormat="1" applyFont="1" applyAlignment="1">
      <alignment horizontal="center" vertical="center"/>
    </xf>
    <xf numFmtId="0" fontId="49" fillId="22" borderId="16" xfId="0" applyFont="1" applyFill="1" applyBorder="1" applyAlignment="1" applyProtection="1">
      <alignment vertical="center"/>
      <protection locked="0"/>
    </xf>
    <xf numFmtId="0" fontId="38" fillId="25" borderId="16" xfId="0" applyFont="1" applyFill="1" applyBorder="1" applyAlignment="1" applyProtection="1">
      <alignment horizontal="center" vertical="center"/>
      <protection locked="0"/>
    </xf>
    <xf numFmtId="0" fontId="61" fillId="11" borderId="13" xfId="0" applyFont="1" applyFill="1" applyBorder="1" applyAlignment="1" applyProtection="1">
      <alignment horizontal="center" vertical="center"/>
      <protection locked="0"/>
    </xf>
    <xf numFmtId="0" fontId="61" fillId="12" borderId="13" xfId="0" applyFont="1" applyFill="1" applyBorder="1" applyAlignment="1" applyProtection="1">
      <alignment horizontal="center" vertical="center" wrapText="1"/>
      <protection locked="0"/>
    </xf>
    <xf numFmtId="0" fontId="61" fillId="11" borderId="13" xfId="0" applyFont="1" applyFill="1" applyBorder="1" applyAlignment="1" applyProtection="1">
      <alignment horizontal="center" vertical="center" wrapText="1"/>
      <protection locked="0"/>
    </xf>
    <xf numFmtId="0" fontId="61" fillId="18" borderId="14" xfId="0" applyFont="1" applyFill="1" applyBorder="1" applyAlignment="1" applyProtection="1">
      <alignment horizontal="center" vertical="center" wrapText="1"/>
      <protection locked="0"/>
    </xf>
    <xf numFmtId="0" fontId="62" fillId="10" borderId="13" xfId="0" applyFont="1" applyFill="1" applyBorder="1" applyAlignment="1" applyProtection="1">
      <alignment horizontal="center" vertical="center" wrapText="1"/>
      <protection locked="0"/>
    </xf>
    <xf numFmtId="0" fontId="63" fillId="26" borderId="13" xfId="0" applyFont="1" applyFill="1" applyBorder="1" applyAlignment="1" applyProtection="1">
      <alignment horizontal="center" vertical="center"/>
      <protection locked="0"/>
    </xf>
    <xf numFmtId="167" fontId="59" fillId="20" borderId="13" xfId="0" applyNumberFormat="1" applyFont="1" applyFill="1" applyBorder="1" applyAlignment="1" applyProtection="1">
      <alignment horizontal="center" vertical="center"/>
      <protection locked="0"/>
    </xf>
    <xf numFmtId="167" fontId="49" fillId="20" borderId="13" xfId="0" applyNumberFormat="1" applyFont="1" applyFill="1" applyBorder="1" applyAlignment="1">
      <alignment horizontal="center" vertical="center"/>
    </xf>
    <xf numFmtId="167" fontId="49" fillId="20" borderId="13" xfId="0" applyNumberFormat="1" applyFont="1" applyFill="1" applyBorder="1" applyAlignment="1" applyProtection="1">
      <alignment horizontal="center" vertical="center"/>
      <protection locked="0"/>
    </xf>
    <xf numFmtId="0" fontId="50" fillId="3" borderId="13" xfId="0" applyFont="1" applyFill="1" applyBorder="1" applyAlignment="1">
      <alignment horizontal="center" vertical="center"/>
    </xf>
    <xf numFmtId="167" fontId="50" fillId="3" borderId="13" xfId="0" applyNumberFormat="1" applyFont="1" applyFill="1" applyBorder="1" applyAlignment="1">
      <alignment horizontal="center" vertical="center"/>
    </xf>
    <xf numFmtId="0" fontId="52" fillId="3" borderId="13" xfId="0" applyFont="1" applyFill="1" applyBorder="1" applyAlignment="1">
      <alignment horizontal="center" vertical="center"/>
    </xf>
    <xf numFmtId="167" fontId="52" fillId="3" borderId="13" xfId="0" applyNumberFormat="1" applyFont="1" applyFill="1" applyBorder="1" applyAlignment="1">
      <alignment horizontal="center" vertical="center"/>
    </xf>
    <xf numFmtId="0" fontId="61" fillId="3" borderId="13" xfId="0" applyFont="1" applyFill="1" applyBorder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61" fillId="16" borderId="13" xfId="0" applyFont="1" applyFill="1" applyBorder="1" applyAlignment="1" applyProtection="1">
      <alignment vertical="center"/>
      <protection locked="0"/>
    </xf>
    <xf numFmtId="168" fontId="47" fillId="22" borderId="16" xfId="0" applyNumberFormat="1" applyFont="1" applyFill="1" applyBorder="1" applyAlignment="1">
      <alignment horizontal="center" vertical="center"/>
    </xf>
    <xf numFmtId="169" fontId="36" fillId="22" borderId="18" xfId="0" applyNumberFormat="1" applyFont="1" applyFill="1" applyBorder="1" applyAlignment="1">
      <alignment horizontal="center" vertical="center"/>
    </xf>
    <xf numFmtId="171" fontId="36" fillId="27" borderId="43" xfId="0" applyNumberFormat="1" applyFont="1" applyFill="1" applyBorder="1" applyAlignment="1">
      <alignment horizontal="center" vertical="center"/>
    </xf>
    <xf numFmtId="171" fontId="36" fillId="27" borderId="44" xfId="0" applyNumberFormat="1" applyFont="1" applyFill="1" applyBorder="1" applyAlignment="1">
      <alignment horizontal="center" vertical="center"/>
    </xf>
    <xf numFmtId="171" fontId="36" fillId="27" borderId="45" xfId="0" applyNumberFormat="1" applyFont="1" applyFill="1" applyBorder="1" applyAlignment="1">
      <alignment horizontal="center" vertical="center"/>
    </xf>
    <xf numFmtId="171" fontId="36" fillId="27" borderId="46" xfId="0" applyNumberFormat="1" applyFont="1" applyFill="1" applyBorder="1" applyAlignment="1">
      <alignment horizontal="center" vertical="center"/>
    </xf>
    <xf numFmtId="167" fontId="47" fillId="11" borderId="13" xfId="0" applyNumberFormat="1" applyFont="1" applyFill="1" applyBorder="1" applyAlignment="1">
      <alignment horizontal="center" vertical="center"/>
    </xf>
    <xf numFmtId="167" fontId="49" fillId="11" borderId="13" xfId="0" applyNumberFormat="1" applyFont="1" applyFill="1" applyBorder="1" applyAlignment="1">
      <alignment horizontal="center" vertical="center"/>
    </xf>
    <xf numFmtId="167" fontId="49" fillId="6" borderId="27" xfId="0" applyNumberFormat="1" applyFont="1" applyFill="1" applyBorder="1" applyAlignment="1">
      <alignment horizontal="center" vertical="center"/>
    </xf>
    <xf numFmtId="167" fontId="49" fillId="6" borderId="13" xfId="0" applyNumberFormat="1" applyFont="1" applyFill="1" applyBorder="1" applyAlignment="1">
      <alignment vertical="center"/>
    </xf>
    <xf numFmtId="167" fontId="49" fillId="6" borderId="27" xfId="0" applyNumberFormat="1" applyFont="1" applyFill="1" applyBorder="1" applyAlignment="1">
      <alignment vertical="center"/>
    </xf>
    <xf numFmtId="167" fontId="38" fillId="9" borderId="17" xfId="0" applyNumberFormat="1" applyFont="1" applyFill="1" applyBorder="1" applyAlignment="1">
      <alignment horizontal="center" vertical="center"/>
    </xf>
    <xf numFmtId="167" fontId="38" fillId="19" borderId="17" xfId="0" applyNumberFormat="1" applyFont="1" applyFill="1" applyBorder="1" applyAlignment="1">
      <alignment horizontal="center" vertical="center"/>
    </xf>
    <xf numFmtId="167" fontId="38" fillId="12" borderId="16" xfId="0" applyNumberFormat="1" applyFont="1" applyFill="1" applyBorder="1" applyAlignment="1">
      <alignment horizontal="center" vertical="center" wrapText="1"/>
    </xf>
    <xf numFmtId="167" fontId="38" fillId="18" borderId="19" xfId="0" applyNumberFormat="1" applyFont="1" applyFill="1" applyBorder="1" applyAlignment="1">
      <alignment horizontal="center" vertical="center" wrapText="1"/>
    </xf>
    <xf numFmtId="167" fontId="36" fillId="22" borderId="13" xfId="0" applyNumberFormat="1" applyFont="1" applyFill="1" applyBorder="1" applyAlignment="1">
      <alignment horizontal="center" vertical="center"/>
    </xf>
    <xf numFmtId="0" fontId="33" fillId="2" borderId="0" xfId="1" applyFont="1" applyFill="1" applyBorder="1" applyAlignment="1">
      <alignment vertical="center"/>
    </xf>
    <xf numFmtId="0" fontId="61" fillId="26" borderId="13" xfId="0" applyFont="1" applyFill="1" applyBorder="1" applyAlignment="1" applyProtection="1">
      <alignment horizontal="center" vertical="center"/>
      <protection locked="0"/>
    </xf>
    <xf numFmtId="0" fontId="49" fillId="6" borderId="16" xfId="0" applyFont="1" applyFill="1" applyBorder="1" applyAlignment="1" applyProtection="1">
      <alignment vertical="center"/>
      <protection locked="0"/>
    </xf>
    <xf numFmtId="0" fontId="49" fillId="6" borderId="17" xfId="0" applyFont="1" applyFill="1" applyBorder="1" applyAlignment="1" applyProtection="1">
      <alignment vertical="center"/>
      <protection locked="0"/>
    </xf>
    <xf numFmtId="0" fontId="49" fillId="6" borderId="18" xfId="0" applyFont="1" applyFill="1" applyBorder="1" applyAlignment="1" applyProtection="1">
      <alignment vertical="center"/>
      <protection locked="0"/>
    </xf>
    <xf numFmtId="0" fontId="49" fillId="11" borderId="16" xfId="0" applyFont="1" applyFill="1" applyBorder="1" applyAlignment="1" applyProtection="1">
      <alignment vertical="center"/>
      <protection locked="0"/>
    </xf>
    <xf numFmtId="0" fontId="49" fillId="11" borderId="17" xfId="0" applyFont="1" applyFill="1" applyBorder="1" applyAlignment="1" applyProtection="1">
      <alignment vertical="center"/>
      <protection locked="0"/>
    </xf>
    <xf numFmtId="0" fontId="49" fillId="11" borderId="18" xfId="0" applyFont="1" applyFill="1" applyBorder="1" applyAlignment="1" applyProtection="1">
      <alignment vertical="center"/>
      <protection locked="0"/>
    </xf>
    <xf numFmtId="167" fontId="49" fillId="0" borderId="0" xfId="0" applyNumberFormat="1" applyFont="1" applyAlignment="1">
      <alignment horizontal="center" vertical="center"/>
    </xf>
    <xf numFmtId="167" fontId="65" fillId="0" borderId="0" xfId="0" applyNumberFormat="1" applyFont="1" applyAlignment="1">
      <alignment horizontal="center" vertical="center"/>
    </xf>
    <xf numFmtId="167" fontId="49" fillId="0" borderId="0" xfId="0" applyNumberFormat="1" applyFont="1" applyAlignment="1">
      <alignment horizontal="center" vertical="center" wrapText="1"/>
    </xf>
    <xf numFmtId="167" fontId="38" fillId="3" borderId="13" xfId="0" applyNumberFormat="1" applyFont="1" applyFill="1" applyBorder="1" applyAlignment="1">
      <alignment horizontal="center" vertical="center"/>
    </xf>
    <xf numFmtId="0" fontId="47" fillId="3" borderId="16" xfId="0" applyFont="1" applyFill="1" applyBorder="1" applyAlignment="1" applyProtection="1">
      <alignment vertical="center"/>
      <protection locked="0"/>
    </xf>
    <xf numFmtId="0" fontId="47" fillId="3" borderId="17" xfId="0" applyFont="1" applyFill="1" applyBorder="1" applyAlignment="1" applyProtection="1">
      <alignment vertical="center"/>
      <protection locked="0"/>
    </xf>
    <xf numFmtId="0" fontId="47" fillId="3" borderId="18" xfId="0" applyFont="1" applyFill="1" applyBorder="1" applyAlignment="1" applyProtection="1">
      <alignment vertical="center"/>
      <protection locked="0"/>
    </xf>
    <xf numFmtId="167" fontId="38" fillId="0" borderId="0" xfId="0" applyNumberFormat="1" applyFont="1" applyAlignment="1">
      <alignment horizontal="center" vertical="center"/>
    </xf>
    <xf numFmtId="0" fontId="49" fillId="20" borderId="14" xfId="0" applyFont="1" applyFill="1" applyBorder="1" applyAlignment="1">
      <alignment vertical="center"/>
    </xf>
    <xf numFmtId="0" fontId="49" fillId="0" borderId="0" xfId="0" applyFont="1" applyAlignment="1">
      <alignment vertical="center"/>
    </xf>
    <xf numFmtId="167" fontId="49" fillId="13" borderId="13" xfId="0" applyNumberFormat="1" applyFont="1" applyFill="1" applyBorder="1" applyAlignment="1">
      <alignment horizontal="center" vertical="center"/>
    </xf>
    <xf numFmtId="0" fontId="49" fillId="13" borderId="13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7" fillId="11" borderId="13" xfId="0" applyFont="1" applyFill="1" applyBorder="1" applyAlignment="1" applyProtection="1">
      <alignment horizontal="center" vertical="center"/>
      <protection locked="0"/>
    </xf>
    <xf numFmtId="0" fontId="47" fillId="13" borderId="13" xfId="0" applyFont="1" applyFill="1" applyBorder="1" applyAlignment="1" applyProtection="1">
      <alignment horizontal="center" vertical="center"/>
      <protection locked="0"/>
    </xf>
    <xf numFmtId="0" fontId="49" fillId="6" borderId="27" xfId="0" applyFont="1" applyFill="1" applyBorder="1" applyAlignment="1">
      <alignment horizontal="center" vertical="center"/>
    </xf>
    <xf numFmtId="0" fontId="65" fillId="0" borderId="14" xfId="0" applyFont="1" applyBorder="1" applyAlignment="1">
      <alignment horizontal="center" vertical="center"/>
    </xf>
    <xf numFmtId="167" fontId="65" fillId="0" borderId="14" xfId="0" applyNumberFormat="1" applyFont="1" applyBorder="1" applyAlignment="1">
      <alignment horizontal="center" vertical="center"/>
    </xf>
    <xf numFmtId="0" fontId="48" fillId="28" borderId="13" xfId="0" applyFont="1" applyFill="1" applyBorder="1" applyAlignment="1" applyProtection="1">
      <alignment vertical="center"/>
      <protection locked="0"/>
    </xf>
    <xf numFmtId="0" fontId="48" fillId="25" borderId="13" xfId="0" applyFont="1" applyFill="1" applyBorder="1" applyAlignment="1" applyProtection="1">
      <alignment vertical="center"/>
      <protection locked="0"/>
    </xf>
    <xf numFmtId="0" fontId="48" fillId="25" borderId="13" xfId="0" applyFont="1" applyFill="1" applyBorder="1" applyAlignment="1">
      <alignment vertical="center"/>
    </xf>
    <xf numFmtId="0" fontId="49" fillId="25" borderId="13" xfId="0" applyFont="1" applyFill="1" applyBorder="1" applyAlignment="1">
      <alignment horizontal="center" vertical="center"/>
    </xf>
    <xf numFmtId="0" fontId="49" fillId="22" borderId="14" xfId="0" applyFont="1" applyFill="1" applyBorder="1" applyAlignment="1">
      <alignment horizontal="center" vertical="center"/>
    </xf>
    <xf numFmtId="0" fontId="48" fillId="28" borderId="50" xfId="0" applyFont="1" applyFill="1" applyBorder="1" applyAlignment="1" applyProtection="1">
      <alignment vertical="center"/>
      <protection locked="0"/>
    </xf>
    <xf numFmtId="0" fontId="49" fillId="25" borderId="13" xfId="0" applyFont="1" applyFill="1" applyBorder="1" applyAlignment="1">
      <alignment vertical="center"/>
    </xf>
    <xf numFmtId="0" fontId="48" fillId="28" borderId="50" xfId="0" applyFont="1" applyFill="1" applyBorder="1" applyAlignment="1" applyProtection="1">
      <alignment horizontal="center" vertical="center"/>
      <protection locked="0"/>
    </xf>
    <xf numFmtId="0" fontId="48" fillId="25" borderId="13" xfId="0" applyFont="1" applyFill="1" applyBorder="1" applyAlignment="1" applyProtection="1">
      <alignment horizontal="center" vertical="center"/>
      <protection locked="0"/>
    </xf>
    <xf numFmtId="0" fontId="48" fillId="28" borderId="13" xfId="0" applyFont="1" applyFill="1" applyBorder="1" applyAlignment="1" applyProtection="1">
      <alignment horizontal="center" vertical="center"/>
      <protection locked="0"/>
    </xf>
    <xf numFmtId="0" fontId="48" fillId="25" borderId="13" xfId="0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32" borderId="13" xfId="0" applyFont="1" applyFill="1" applyBorder="1" applyAlignment="1">
      <alignment horizontal="center" vertical="center"/>
    </xf>
    <xf numFmtId="0" fontId="49" fillId="33" borderId="50" xfId="0" applyFont="1" applyFill="1" applyBorder="1" applyAlignment="1">
      <alignment horizontal="right" vertical="center"/>
    </xf>
    <xf numFmtId="0" fontId="49" fillId="33" borderId="50" xfId="0" applyFont="1" applyFill="1" applyBorder="1" applyAlignment="1">
      <alignment horizontal="center" vertical="center"/>
    </xf>
    <xf numFmtId="0" fontId="49" fillId="33" borderId="13" xfId="0" applyFont="1" applyFill="1" applyBorder="1" applyAlignment="1">
      <alignment horizontal="right" vertical="center"/>
    </xf>
    <xf numFmtId="0" fontId="49" fillId="33" borderId="13" xfId="0" applyFont="1" applyFill="1" applyBorder="1" applyAlignment="1">
      <alignment horizontal="center" vertical="center"/>
    </xf>
    <xf numFmtId="0" fontId="49" fillId="33" borderId="13" xfId="0" applyFont="1" applyFill="1" applyBorder="1" applyAlignment="1" applyProtection="1">
      <alignment horizontal="right" vertical="center"/>
      <protection locked="0"/>
    </xf>
    <xf numFmtId="0" fontId="49" fillId="33" borderId="13" xfId="0" applyFont="1" applyFill="1" applyBorder="1" applyAlignment="1" applyProtection="1">
      <alignment vertical="center"/>
      <protection locked="0"/>
    </xf>
    <xf numFmtId="0" fontId="49" fillId="33" borderId="14" xfId="0" applyFont="1" applyFill="1" applyBorder="1" applyAlignment="1">
      <alignment horizontal="center" vertical="center"/>
    </xf>
    <xf numFmtId="0" fontId="49" fillId="34" borderId="13" xfId="0" applyFont="1" applyFill="1" applyBorder="1" applyAlignment="1">
      <alignment horizontal="center" vertical="center"/>
    </xf>
    <xf numFmtId="167" fontId="49" fillId="0" borderId="17" xfId="0" applyNumberFormat="1" applyFont="1" applyBorder="1" applyAlignment="1">
      <alignment horizontal="center" vertical="center"/>
    </xf>
    <xf numFmtId="0" fontId="49" fillId="25" borderId="14" xfId="0" applyFont="1" applyFill="1" applyBorder="1" applyAlignment="1">
      <alignment horizontal="center" vertical="center"/>
    </xf>
    <xf numFmtId="0" fontId="49" fillId="14" borderId="13" xfId="0" applyFont="1" applyFill="1" applyBorder="1" applyAlignment="1">
      <alignment horizontal="center" vertical="center"/>
    </xf>
    <xf numFmtId="0" fontId="67" fillId="32" borderId="13" xfId="0" applyFont="1" applyFill="1" applyBorder="1" applyAlignment="1" applyProtection="1">
      <alignment horizontal="center" vertical="center"/>
      <protection locked="0"/>
    </xf>
    <xf numFmtId="0" fontId="60" fillId="32" borderId="13" xfId="0" applyFont="1" applyFill="1" applyBorder="1" applyAlignment="1" applyProtection="1">
      <alignment vertical="center"/>
      <protection locked="0"/>
    </xf>
    <xf numFmtId="0" fontId="50" fillId="32" borderId="13" xfId="0" applyFont="1" applyFill="1" applyBorder="1" applyAlignment="1" applyProtection="1">
      <alignment vertical="center"/>
      <protection locked="0"/>
    </xf>
    <xf numFmtId="0" fontId="49" fillId="32" borderId="13" xfId="0" applyFont="1" applyFill="1" applyBorder="1" applyAlignment="1" applyProtection="1">
      <alignment vertical="center" wrapText="1"/>
      <protection locked="0"/>
    </xf>
    <xf numFmtId="0" fontId="49" fillId="13" borderId="13" xfId="0" applyFont="1" applyFill="1" applyBorder="1" applyAlignment="1">
      <alignment horizontal="center" vertical="center"/>
    </xf>
    <xf numFmtId="167" fontId="50" fillId="22" borderId="13" xfId="0" applyNumberFormat="1" applyFont="1" applyFill="1" applyBorder="1"/>
    <xf numFmtId="172" fontId="50" fillId="22" borderId="13" xfId="0" applyNumberFormat="1" applyFont="1" applyFill="1" applyBorder="1"/>
    <xf numFmtId="9" fontId="0" fillId="33" borderId="13" xfId="0" applyNumberFormat="1" applyFill="1" applyBorder="1" applyAlignment="1">
      <alignment horizontal="center"/>
    </xf>
    <xf numFmtId="0" fontId="0" fillId="36" borderId="13" xfId="0" applyFill="1" applyBorder="1" applyAlignment="1">
      <alignment vertical="center" wrapText="1"/>
    </xf>
    <xf numFmtId="172" fontId="50" fillId="3" borderId="13" xfId="0" applyNumberFormat="1" applyFont="1" applyFill="1" applyBorder="1"/>
    <xf numFmtId="172" fontId="50" fillId="30" borderId="13" xfId="0" applyNumberFormat="1" applyFont="1" applyFill="1" applyBorder="1"/>
    <xf numFmtId="172" fontId="50" fillId="33" borderId="13" xfId="0" applyNumberFormat="1" applyFont="1" applyFill="1" applyBorder="1"/>
    <xf numFmtId="172" fontId="50" fillId="36" borderId="13" xfId="0" applyNumberFormat="1" applyFont="1" applyFill="1" applyBorder="1"/>
    <xf numFmtId="172" fontId="50" fillId="32" borderId="13" xfId="0" applyNumberFormat="1" applyFont="1" applyFill="1" applyBorder="1"/>
    <xf numFmtId="172" fontId="50" fillId="31" borderId="13" xfId="0" applyNumberFormat="1" applyFont="1" applyFill="1" applyBorder="1"/>
    <xf numFmtId="167" fontId="1" fillId="3" borderId="13" xfId="0" applyNumberFormat="1" applyFont="1" applyFill="1" applyBorder="1"/>
    <xf numFmtId="167" fontId="1" fillId="30" borderId="13" xfId="0" applyNumberFormat="1" applyFont="1" applyFill="1" applyBorder="1"/>
    <xf numFmtId="167" fontId="1" fillId="33" borderId="13" xfId="0" applyNumberFormat="1" applyFont="1" applyFill="1" applyBorder="1"/>
    <xf numFmtId="167" fontId="1" fillId="36" borderId="13" xfId="0" applyNumberFormat="1" applyFont="1" applyFill="1" applyBorder="1"/>
    <xf numFmtId="167" fontId="1" fillId="32" borderId="13" xfId="0" applyNumberFormat="1" applyFont="1" applyFill="1" applyBorder="1"/>
    <xf numFmtId="167" fontId="1" fillId="31" borderId="13" xfId="0" applyNumberFormat="1" applyFont="1" applyFill="1" applyBorder="1"/>
    <xf numFmtId="167" fontId="52" fillId="27" borderId="13" xfId="0" applyNumberFormat="1" applyFont="1" applyFill="1" applyBorder="1"/>
    <xf numFmtId="167" fontId="54" fillId="27" borderId="13" xfId="0" applyNumberFormat="1" applyFont="1" applyFill="1" applyBorder="1"/>
    <xf numFmtId="9" fontId="50" fillId="22" borderId="13" xfId="0" applyNumberFormat="1" applyFont="1" applyFill="1" applyBorder="1" applyAlignment="1">
      <alignment vertical="center"/>
    </xf>
    <xf numFmtId="9" fontId="0" fillId="3" borderId="13" xfId="0" applyNumberFormat="1" applyFill="1" applyBorder="1" applyAlignment="1">
      <alignment vertical="center"/>
    </xf>
    <xf numFmtId="9" fontId="0" fillId="30" borderId="13" xfId="0" applyNumberFormat="1" applyFill="1" applyBorder="1" applyAlignment="1">
      <alignment vertical="center"/>
    </xf>
    <xf numFmtId="9" fontId="0" fillId="33" borderId="13" xfId="0" applyNumberFormat="1" applyFill="1" applyBorder="1" applyAlignment="1">
      <alignment vertical="center"/>
    </xf>
    <xf numFmtId="0" fontId="0" fillId="36" borderId="13" xfId="0" applyFill="1" applyBorder="1" applyAlignment="1">
      <alignment vertical="center"/>
    </xf>
    <xf numFmtId="0" fontId="0" fillId="32" borderId="13" xfId="0" applyFill="1" applyBorder="1" applyAlignment="1">
      <alignment vertical="center"/>
    </xf>
    <xf numFmtId="0" fontId="0" fillId="31" borderId="13" xfId="0" applyFill="1" applyBorder="1" applyAlignment="1">
      <alignment vertical="center"/>
    </xf>
    <xf numFmtId="0" fontId="0" fillId="0" borderId="0" xfId="0" applyAlignment="1">
      <alignment vertical="center"/>
    </xf>
    <xf numFmtId="170" fontId="50" fillId="22" borderId="13" xfId="0" applyNumberFormat="1" applyFont="1" applyFill="1" applyBorder="1" applyAlignment="1">
      <alignment horizontal="center"/>
    </xf>
    <xf numFmtId="170" fontId="0" fillId="3" borderId="13" xfId="0" applyNumberFormat="1" applyFill="1" applyBorder="1" applyAlignment="1">
      <alignment horizontal="center"/>
    </xf>
    <xf numFmtId="170" fontId="0" fillId="30" borderId="13" xfId="0" applyNumberFormat="1" applyFill="1" applyBorder="1" applyAlignment="1">
      <alignment horizontal="center"/>
    </xf>
    <xf numFmtId="170" fontId="0" fillId="33" borderId="13" xfId="0" applyNumberFormat="1" applyFill="1" applyBorder="1" applyAlignment="1">
      <alignment horizontal="center"/>
    </xf>
    <xf numFmtId="0" fontId="0" fillId="36" borderId="13" xfId="0" applyFill="1" applyBorder="1" applyAlignment="1">
      <alignment horizontal="center"/>
    </xf>
    <xf numFmtId="170" fontId="0" fillId="32" borderId="13" xfId="0" applyNumberFormat="1" applyFill="1" applyBorder="1" applyAlignment="1">
      <alignment horizontal="center"/>
    </xf>
    <xf numFmtId="170" fontId="0" fillId="31" borderId="13" xfId="0" applyNumberFormat="1" applyFill="1" applyBorder="1" applyAlignment="1">
      <alignment horizontal="center"/>
    </xf>
    <xf numFmtId="0" fontId="32" fillId="7" borderId="0" xfId="1" quotePrefix="1" applyFill="1"/>
    <xf numFmtId="0" fontId="68" fillId="0" borderId="0" xfId="0" applyFont="1" applyAlignment="1">
      <alignment horizontal="center"/>
    </xf>
    <xf numFmtId="167" fontId="47" fillId="22" borderId="13" xfId="0" applyNumberFormat="1" applyFont="1" applyFill="1" applyBorder="1" applyAlignment="1" applyProtection="1">
      <alignment horizontal="center" vertical="center"/>
      <protection locked="0"/>
    </xf>
    <xf numFmtId="171" fontId="47" fillId="22" borderId="13" xfId="0" applyNumberFormat="1" applyFont="1" applyFill="1" applyBorder="1" applyAlignment="1" applyProtection="1">
      <alignment horizontal="center" vertical="center"/>
      <protection locked="0"/>
    </xf>
    <xf numFmtId="0" fontId="49" fillId="20" borderId="14" xfId="0" applyFont="1" applyFill="1" applyBorder="1" applyAlignment="1" applyProtection="1">
      <alignment vertical="center"/>
      <protection locked="0"/>
    </xf>
    <xf numFmtId="0" fontId="61" fillId="16" borderId="13" xfId="0" applyFont="1" applyFill="1" applyBorder="1" applyAlignment="1">
      <alignment horizontal="center" vertical="center"/>
    </xf>
    <xf numFmtId="168" fontId="52" fillId="3" borderId="13" xfId="0" applyNumberFormat="1" applyFont="1" applyFill="1" applyBorder="1" applyAlignment="1">
      <alignment horizontal="center" vertical="center"/>
    </xf>
    <xf numFmtId="0" fontId="59" fillId="3" borderId="13" xfId="0" applyFont="1" applyFill="1" applyBorder="1" applyAlignment="1" applyProtection="1">
      <alignment horizontal="center" vertical="center"/>
      <protection locked="0"/>
    </xf>
    <xf numFmtId="167" fontId="52" fillId="18" borderId="13" xfId="0" applyNumberFormat="1" applyFont="1" applyFill="1" applyBorder="1" applyAlignment="1">
      <alignment horizontal="center" vertical="center"/>
    </xf>
    <xf numFmtId="0" fontId="47" fillId="11" borderId="13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6" fillId="0" borderId="21" xfId="0" applyFont="1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49" fillId="22" borderId="16" xfId="0" applyFont="1" applyFill="1" applyBorder="1" applyAlignment="1">
      <alignment vertical="center"/>
    </xf>
    <xf numFmtId="168" fontId="47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2" fillId="11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7" fillId="13" borderId="13" xfId="0" applyFont="1" applyFill="1" applyBorder="1" applyAlignment="1">
      <alignment horizontal="center" vertical="center"/>
    </xf>
    <xf numFmtId="0" fontId="47" fillId="0" borderId="0" xfId="0" applyFont="1" applyAlignment="1">
      <alignment vertical="center"/>
    </xf>
    <xf numFmtId="166" fontId="0" fillId="0" borderId="0" xfId="0" applyNumberFormat="1" applyAlignment="1">
      <alignment horizontal="center" vertical="center"/>
    </xf>
    <xf numFmtId="0" fontId="61" fillId="11" borderId="13" xfId="0" applyFont="1" applyFill="1" applyBorder="1" applyAlignment="1">
      <alignment horizontal="center" vertical="center"/>
    </xf>
    <xf numFmtId="0" fontId="62" fillId="10" borderId="13" xfId="0" applyFont="1" applyFill="1" applyBorder="1" applyAlignment="1">
      <alignment horizontal="center" vertical="center" wrapText="1"/>
    </xf>
    <xf numFmtId="0" fontId="42" fillId="10" borderId="13" xfId="0" applyFont="1" applyFill="1" applyBorder="1" applyAlignment="1">
      <alignment horizontal="center" vertical="center" wrapText="1"/>
    </xf>
    <xf numFmtId="0" fontId="41" fillId="10" borderId="13" xfId="0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/>
    </xf>
    <xf numFmtId="0" fontId="61" fillId="12" borderId="13" xfId="0" applyFont="1" applyFill="1" applyBorder="1" applyAlignment="1">
      <alignment horizontal="center" vertical="center" wrapText="1"/>
    </xf>
    <xf numFmtId="0" fontId="61" fillId="11" borderId="13" xfId="0" applyFont="1" applyFill="1" applyBorder="1" applyAlignment="1">
      <alignment horizontal="center" vertical="center" wrapText="1"/>
    </xf>
    <xf numFmtId="168" fontId="38" fillId="11" borderId="13" xfId="0" applyNumberFormat="1" applyFont="1" applyFill="1" applyBorder="1" applyAlignment="1">
      <alignment horizontal="center" vertical="center" wrapText="1"/>
    </xf>
    <xf numFmtId="0" fontId="61" fillId="18" borderId="14" xfId="0" applyFont="1" applyFill="1" applyBorder="1" applyAlignment="1">
      <alignment horizontal="center" vertical="center" wrapText="1"/>
    </xf>
    <xf numFmtId="168" fontId="43" fillId="18" borderId="14" xfId="0" applyNumberFormat="1" applyFont="1" applyFill="1" applyBorder="1" applyAlignment="1">
      <alignment horizontal="center" vertical="center"/>
    </xf>
    <xf numFmtId="0" fontId="58" fillId="15" borderId="13" xfId="0" applyFont="1" applyFill="1" applyBorder="1" applyAlignment="1">
      <alignment horizontal="center" vertical="center" wrapText="1"/>
    </xf>
    <xf numFmtId="0" fontId="49" fillId="6" borderId="13" xfId="0" applyFont="1" applyFill="1" applyBorder="1" applyAlignment="1">
      <alignment vertical="center"/>
    </xf>
    <xf numFmtId="0" fontId="61" fillId="3" borderId="13" xfId="0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1" fillId="16" borderId="13" xfId="0" applyFont="1" applyFill="1" applyBorder="1" applyAlignment="1">
      <alignment vertical="center"/>
    </xf>
    <xf numFmtId="2" fontId="52" fillId="3" borderId="13" xfId="0" applyNumberFormat="1" applyFont="1" applyFill="1" applyBorder="1" applyAlignment="1">
      <alignment horizontal="center" vertical="center"/>
    </xf>
    <xf numFmtId="0" fontId="63" fillId="26" borderId="13" xfId="0" applyFont="1" applyFill="1" applyBorder="1" applyAlignment="1">
      <alignment horizontal="center" vertical="center"/>
    </xf>
    <xf numFmtId="0" fontId="61" fillId="26" borderId="13" xfId="0" applyFont="1" applyFill="1" applyBorder="1" applyAlignment="1">
      <alignment horizontal="center" vertical="center"/>
    </xf>
    <xf numFmtId="167" fontId="59" fillId="20" borderId="13" xfId="0" applyNumberFormat="1" applyFont="1" applyFill="1" applyBorder="1" applyAlignment="1">
      <alignment horizontal="center" vertical="center"/>
    </xf>
    <xf numFmtId="0" fontId="49" fillId="20" borderId="13" xfId="0" applyFont="1" applyFill="1" applyBorder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47" fillId="3" borderId="16" xfId="0" applyFont="1" applyFill="1" applyBorder="1" applyAlignment="1">
      <alignment vertical="center"/>
    </xf>
    <xf numFmtId="0" fontId="47" fillId="3" borderId="17" xfId="0" applyFont="1" applyFill="1" applyBorder="1" applyAlignment="1">
      <alignment vertical="center"/>
    </xf>
    <xf numFmtId="0" fontId="47" fillId="3" borderId="18" xfId="0" applyFont="1" applyFill="1" applyBorder="1" applyAlignment="1">
      <alignment vertical="center"/>
    </xf>
    <xf numFmtId="166" fontId="47" fillId="0" borderId="0" xfId="0" applyNumberFormat="1" applyFont="1" applyAlignment="1">
      <alignment horizontal="center" vertical="center"/>
    </xf>
    <xf numFmtId="0" fontId="36" fillId="7" borderId="0" xfId="0" applyFont="1" applyFill="1" applyAlignment="1">
      <alignment horizontal="center" vertical="center"/>
    </xf>
    <xf numFmtId="0" fontId="36" fillId="5" borderId="0" xfId="0" applyFont="1" applyFill="1" applyAlignment="1">
      <alignment horizontal="center" vertical="center"/>
    </xf>
    <xf numFmtId="0" fontId="47" fillId="13" borderId="16" xfId="0" applyFont="1" applyFill="1" applyBorder="1" applyAlignment="1">
      <alignment horizontal="center" vertical="center"/>
    </xf>
    <xf numFmtId="0" fontId="37" fillId="0" borderId="24" xfId="0" applyFont="1" applyBorder="1" applyAlignment="1">
      <alignment horizontal="center" vertical="center" wrapText="1"/>
    </xf>
    <xf numFmtId="0" fontId="41" fillId="10" borderId="16" xfId="0" applyFont="1" applyFill="1" applyBorder="1" applyAlignment="1">
      <alignment horizontal="center" vertical="center" wrapText="1"/>
    </xf>
    <xf numFmtId="0" fontId="38" fillId="12" borderId="13" xfId="0" applyFont="1" applyFill="1" applyBorder="1" applyAlignment="1">
      <alignment horizontal="center" vertical="center" wrapText="1"/>
    </xf>
    <xf numFmtId="0" fontId="60" fillId="11" borderId="13" xfId="0" applyFont="1" applyFill="1" applyBorder="1" applyAlignment="1">
      <alignment horizontal="center" vertical="center" wrapText="1"/>
    </xf>
    <xf numFmtId="167" fontId="38" fillId="11" borderId="16" xfId="0" applyNumberFormat="1" applyFont="1" applyFill="1" applyBorder="1" applyAlignment="1">
      <alignment horizontal="center" vertical="center" wrapText="1"/>
    </xf>
    <xf numFmtId="0" fontId="38" fillId="18" borderId="14" xfId="0" applyFont="1" applyFill="1" applyBorder="1" applyAlignment="1">
      <alignment horizontal="center" vertical="center" wrapText="1"/>
    </xf>
    <xf numFmtId="0" fontId="60" fillId="16" borderId="13" xfId="0" applyFont="1" applyFill="1" applyBorder="1" applyAlignment="1">
      <alignment horizontal="center" vertical="center"/>
    </xf>
    <xf numFmtId="0" fontId="60" fillId="3" borderId="13" xfId="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60" fillId="16" borderId="13" xfId="0" applyFont="1" applyFill="1" applyBorder="1" applyAlignment="1">
      <alignment vertical="center"/>
    </xf>
    <xf numFmtId="2" fontId="50" fillId="3" borderId="13" xfId="0" applyNumberFormat="1" applyFont="1" applyFill="1" applyBorder="1" applyAlignment="1">
      <alignment horizontal="center" vertical="center"/>
    </xf>
    <xf numFmtId="167" fontId="50" fillId="18" borderId="13" xfId="0" applyNumberFormat="1" applyFont="1" applyFill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64" fillId="26" borderId="13" xfId="0" applyFont="1" applyFill="1" applyBorder="1" applyAlignment="1">
      <alignment horizontal="center" vertical="center"/>
    </xf>
    <xf numFmtId="168" fontId="47" fillId="17" borderId="13" xfId="0" applyNumberFormat="1" applyFont="1" applyFill="1" applyBorder="1" applyAlignment="1">
      <alignment horizontal="center" vertical="center"/>
    </xf>
    <xf numFmtId="167" fontId="49" fillId="20" borderId="46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vertical="center" wrapText="1"/>
    </xf>
    <xf numFmtId="168" fontId="36" fillId="0" borderId="0" xfId="0" applyNumberFormat="1" applyFont="1" applyAlignment="1">
      <alignment horizontal="center" vertical="center"/>
    </xf>
    <xf numFmtId="0" fontId="47" fillId="3" borderId="13" xfId="0" applyFont="1" applyFill="1" applyBorder="1" applyAlignment="1">
      <alignment horizontal="center" vertical="center"/>
    </xf>
    <xf numFmtId="9" fontId="69" fillId="22" borderId="13" xfId="2" applyFont="1" applyFill="1" applyBorder="1" applyAlignment="1" applyProtection="1">
      <alignment horizontal="center" vertical="center"/>
      <protection locked="0"/>
    </xf>
    <xf numFmtId="0" fontId="69" fillId="22" borderId="13" xfId="0" applyFont="1" applyFill="1" applyBorder="1" applyAlignment="1" applyProtection="1">
      <alignment horizontal="center" vertical="center"/>
      <protection locked="0"/>
    </xf>
    <xf numFmtId="170" fontId="69" fillId="22" borderId="13" xfId="2" applyNumberFormat="1" applyFont="1" applyFill="1" applyBorder="1" applyAlignment="1" applyProtection="1">
      <alignment horizontal="center" vertical="center"/>
      <protection locked="0"/>
    </xf>
    <xf numFmtId="2" fontId="69" fillId="22" borderId="13" xfId="0" applyNumberFormat="1" applyFont="1" applyFill="1" applyBorder="1" applyAlignment="1" applyProtection="1">
      <alignment horizontal="center" vertical="center"/>
      <protection locked="0"/>
    </xf>
    <xf numFmtId="170" fontId="70" fillId="22" borderId="13" xfId="2" applyNumberFormat="1" applyFont="1" applyFill="1" applyBorder="1" applyAlignment="1" applyProtection="1">
      <alignment horizontal="center" vertical="center"/>
      <protection locked="0"/>
    </xf>
    <xf numFmtId="2" fontId="70" fillId="22" borderId="13" xfId="0" applyNumberFormat="1" applyFont="1" applyFill="1" applyBorder="1" applyAlignment="1" applyProtection="1">
      <alignment horizontal="center" vertical="center"/>
      <protection locked="0"/>
    </xf>
    <xf numFmtId="0" fontId="71" fillId="25" borderId="16" xfId="0" applyFont="1" applyFill="1" applyBorder="1" applyAlignment="1" applyProtection="1">
      <alignment horizontal="center" vertical="center"/>
      <protection locked="0"/>
    </xf>
    <xf numFmtId="168" fontId="71" fillId="12" borderId="13" xfId="0" applyNumberFormat="1" applyFont="1" applyFill="1" applyBorder="1" applyAlignment="1" applyProtection="1">
      <alignment horizontal="center" vertical="center" wrapText="1"/>
      <protection locked="0"/>
    </xf>
    <xf numFmtId="168" fontId="71" fillId="11" borderId="13" xfId="0" applyNumberFormat="1" applyFont="1" applyFill="1" applyBorder="1" applyAlignment="1" applyProtection="1">
      <alignment horizontal="center" vertical="center" wrapText="1"/>
      <protection locked="0"/>
    </xf>
    <xf numFmtId="168" fontId="72" fillId="18" borderId="14" xfId="0" applyNumberFormat="1" applyFont="1" applyFill="1" applyBorder="1" applyAlignment="1" applyProtection="1">
      <alignment horizontal="center" vertical="center"/>
      <protection locked="0"/>
    </xf>
    <xf numFmtId="0" fontId="73" fillId="3" borderId="13" xfId="0" applyFont="1" applyFill="1" applyBorder="1" applyAlignment="1" applyProtection="1">
      <alignment horizontal="center" vertical="center"/>
      <protection locked="0"/>
    </xf>
    <xf numFmtId="1" fontId="73" fillId="3" borderId="13" xfId="0" applyNumberFormat="1" applyFont="1" applyFill="1" applyBorder="1" applyAlignment="1" applyProtection="1">
      <alignment horizontal="center" vertical="center"/>
      <protection locked="0"/>
    </xf>
    <xf numFmtId="0" fontId="69" fillId="20" borderId="13" xfId="0" applyFont="1" applyFill="1" applyBorder="1" applyAlignment="1" applyProtection="1">
      <alignment horizontal="center" vertical="center"/>
      <protection locked="0"/>
    </xf>
    <xf numFmtId="0" fontId="73" fillId="16" borderId="13" xfId="0" applyFont="1" applyFill="1" applyBorder="1" applyAlignment="1">
      <alignment horizontal="center" vertical="center"/>
    </xf>
    <xf numFmtId="1" fontId="73" fillId="3" borderId="13" xfId="0" applyNumberFormat="1" applyFont="1" applyFill="1" applyBorder="1" applyAlignment="1">
      <alignment horizontal="center" vertical="center"/>
    </xf>
    <xf numFmtId="0" fontId="73" fillId="3" borderId="13" xfId="0" applyFont="1" applyFill="1" applyBorder="1" applyAlignment="1">
      <alignment horizontal="center" vertical="center"/>
    </xf>
    <xf numFmtId="167" fontId="69" fillId="22" borderId="13" xfId="0" applyNumberFormat="1" applyFont="1" applyFill="1" applyBorder="1" applyAlignment="1">
      <alignment horizontal="center" vertical="center" wrapText="1"/>
    </xf>
    <xf numFmtId="167" fontId="69" fillId="22" borderId="13" xfId="0" applyNumberFormat="1" applyFont="1" applyFill="1" applyBorder="1" applyAlignment="1">
      <alignment horizontal="center" vertical="center"/>
    </xf>
    <xf numFmtId="0" fontId="69" fillId="22" borderId="13" xfId="0" applyFont="1" applyFill="1" applyBorder="1" applyAlignment="1">
      <alignment horizontal="center" vertical="center"/>
    </xf>
    <xf numFmtId="0" fontId="69" fillId="22" borderId="14" xfId="0" applyFont="1" applyFill="1" applyBorder="1" applyAlignment="1">
      <alignment horizontal="center" vertical="center"/>
    </xf>
    <xf numFmtId="167" fontId="69" fillId="25" borderId="42" xfId="0" applyNumberFormat="1" applyFont="1" applyFill="1" applyBorder="1" applyAlignment="1">
      <alignment horizontal="center" vertical="center"/>
    </xf>
    <xf numFmtId="167" fontId="69" fillId="25" borderId="44" xfId="0" applyNumberFormat="1" applyFont="1" applyFill="1" applyBorder="1" applyAlignment="1">
      <alignment horizontal="center" vertical="center"/>
    </xf>
    <xf numFmtId="0" fontId="69" fillId="25" borderId="52" xfId="0" applyFont="1" applyFill="1" applyBorder="1" applyAlignment="1">
      <alignment horizontal="center" vertical="center"/>
    </xf>
    <xf numFmtId="167" fontId="69" fillId="14" borderId="13" xfId="0" applyNumberFormat="1" applyFont="1" applyFill="1" applyBorder="1" applyAlignment="1">
      <alignment horizontal="center" vertical="center"/>
    </xf>
    <xf numFmtId="167" fontId="69" fillId="29" borderId="13" xfId="0" applyNumberFormat="1" applyFont="1" applyFill="1" applyBorder="1" applyAlignment="1">
      <alignment horizontal="center" vertical="center"/>
    </xf>
    <xf numFmtId="0" fontId="69" fillId="29" borderId="13" xfId="0" applyFont="1" applyFill="1" applyBorder="1" applyAlignment="1">
      <alignment horizontal="center" vertical="center"/>
    </xf>
    <xf numFmtId="167" fontId="73" fillId="33" borderId="42" xfId="0" applyNumberFormat="1" applyFont="1" applyFill="1" applyBorder="1" applyAlignment="1" applyProtection="1">
      <alignment vertical="center"/>
      <protection locked="0"/>
    </xf>
    <xf numFmtId="167" fontId="73" fillId="33" borderId="44" xfId="0" applyNumberFormat="1" applyFont="1" applyFill="1" applyBorder="1" applyAlignment="1" applyProtection="1">
      <alignment vertical="center"/>
      <protection locked="0"/>
    </xf>
    <xf numFmtId="167" fontId="73" fillId="33" borderId="44" xfId="0" applyNumberFormat="1" applyFont="1" applyFill="1" applyBorder="1" applyAlignment="1">
      <alignment vertical="center"/>
    </xf>
    <xf numFmtId="0" fontId="69" fillId="33" borderId="44" xfId="0" applyFont="1" applyFill="1" applyBorder="1" applyAlignment="1">
      <alignment horizontal="center" vertical="center"/>
    </xf>
    <xf numFmtId="0" fontId="69" fillId="33" borderId="52" xfId="0" applyFont="1" applyFill="1" applyBorder="1" applyAlignment="1">
      <alignment horizontal="center" vertical="center"/>
    </xf>
    <xf numFmtId="167" fontId="69" fillId="34" borderId="13" xfId="0" applyNumberFormat="1" applyFont="1" applyFill="1" applyBorder="1" applyAlignment="1">
      <alignment horizontal="center" vertical="center"/>
    </xf>
    <xf numFmtId="0" fontId="69" fillId="34" borderId="13" xfId="0" applyFont="1" applyFill="1" applyBorder="1" applyAlignment="1">
      <alignment horizontal="center" vertical="center"/>
    </xf>
    <xf numFmtId="0" fontId="69" fillId="13" borderId="13" xfId="0" applyFont="1" applyFill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74" fillId="32" borderId="13" xfId="0" applyFont="1" applyFill="1" applyBorder="1" applyAlignment="1" applyProtection="1">
      <alignment horizontal="center" vertical="center"/>
      <protection locked="0"/>
    </xf>
    <xf numFmtId="167" fontId="69" fillId="32" borderId="13" xfId="0" applyNumberFormat="1" applyFont="1" applyFill="1" applyBorder="1" applyAlignment="1" applyProtection="1">
      <alignment horizontal="center" vertical="center"/>
      <protection locked="0"/>
    </xf>
    <xf numFmtId="167" fontId="69" fillId="35" borderId="13" xfId="0" applyNumberFormat="1" applyFont="1" applyFill="1" applyBorder="1" applyAlignment="1" applyProtection="1">
      <alignment horizontal="center" vertical="center"/>
      <protection locked="0"/>
    </xf>
    <xf numFmtId="167" fontId="69" fillId="32" borderId="13" xfId="0" applyNumberFormat="1" applyFont="1" applyFill="1" applyBorder="1" applyAlignment="1">
      <alignment horizontal="center" vertical="center"/>
    </xf>
    <xf numFmtId="9" fontId="71" fillId="11" borderId="13" xfId="2" applyFont="1" applyFill="1" applyBorder="1" applyAlignment="1" applyProtection="1">
      <alignment horizontal="center" vertical="center" wrapText="1"/>
      <protection locked="0"/>
    </xf>
    <xf numFmtId="0" fontId="75" fillId="3" borderId="13" xfId="0" applyFont="1" applyFill="1" applyBorder="1" applyAlignment="1" applyProtection="1">
      <alignment horizontal="center" vertical="center"/>
      <protection locked="0"/>
    </xf>
    <xf numFmtId="0" fontId="75" fillId="16" borderId="13" xfId="0" applyFont="1" applyFill="1" applyBorder="1" applyAlignment="1" applyProtection="1">
      <alignment horizontal="center" vertical="center"/>
      <protection locked="0"/>
    </xf>
    <xf numFmtId="1" fontId="75" fillId="3" borderId="13" xfId="0" applyNumberFormat="1" applyFont="1" applyFill="1" applyBorder="1" applyAlignment="1" applyProtection="1">
      <alignment horizontal="center" vertical="center"/>
      <protection locked="0"/>
    </xf>
    <xf numFmtId="0" fontId="76" fillId="26" borderId="13" xfId="0" applyFont="1" applyFill="1" applyBorder="1" applyAlignment="1">
      <alignment horizontal="center" vertical="center"/>
    </xf>
    <xf numFmtId="0" fontId="73" fillId="16" borderId="13" xfId="0" applyFont="1" applyFill="1" applyBorder="1" applyAlignment="1" applyProtection="1">
      <alignment horizontal="center" vertical="center"/>
      <protection locked="0"/>
    </xf>
    <xf numFmtId="168" fontId="70" fillId="12" borderId="13" xfId="0" applyNumberFormat="1" applyFont="1" applyFill="1" applyBorder="1" applyAlignment="1" applyProtection="1">
      <alignment horizontal="center" vertical="center" wrapText="1"/>
      <protection locked="0"/>
    </xf>
    <xf numFmtId="168" fontId="69" fillId="22" borderId="13" xfId="0" applyNumberFormat="1" applyFont="1" applyFill="1" applyBorder="1" applyAlignment="1" applyProtection="1">
      <alignment horizontal="center" vertical="center"/>
      <protection locked="0"/>
    </xf>
    <xf numFmtId="0" fontId="71" fillId="25" borderId="16" xfId="0" applyFont="1" applyFill="1" applyBorder="1" applyAlignment="1">
      <alignment horizontal="center" vertical="center"/>
    </xf>
    <xf numFmtId="173" fontId="1" fillId="3" borderId="13" xfId="0" applyNumberFormat="1" applyFont="1" applyFill="1" applyBorder="1"/>
    <xf numFmtId="173" fontId="1" fillId="30" borderId="13" xfId="0" applyNumberFormat="1" applyFont="1" applyFill="1" applyBorder="1"/>
    <xf numFmtId="173" fontId="1" fillId="33" borderId="13" xfId="0" applyNumberFormat="1" applyFont="1" applyFill="1" applyBorder="1"/>
    <xf numFmtId="173" fontId="1" fillId="36" borderId="13" xfId="0" applyNumberFormat="1" applyFont="1" applyFill="1" applyBorder="1"/>
    <xf numFmtId="173" fontId="1" fillId="32" borderId="13" xfId="0" applyNumberFormat="1" applyFont="1" applyFill="1" applyBorder="1"/>
    <xf numFmtId="173" fontId="1" fillId="31" borderId="13" xfId="0" applyNumberFormat="1" applyFont="1" applyFill="1" applyBorder="1"/>
    <xf numFmtId="173" fontId="1" fillId="22" borderId="13" xfId="0" applyNumberFormat="1" applyFont="1" applyFill="1" applyBorder="1"/>
    <xf numFmtId="0" fontId="0" fillId="0" borderId="0" xfId="0" applyAlignment="1">
      <alignment horizontal="center"/>
    </xf>
    <xf numFmtId="0" fontId="33" fillId="2" borderId="0" xfId="1" applyFont="1" applyFill="1" applyBorder="1" applyAlignment="1">
      <alignment vertical="center" wrapText="1"/>
    </xf>
    <xf numFmtId="0" fontId="33" fillId="2" borderId="0" xfId="1" applyFont="1" applyFill="1" applyBorder="1" applyAlignment="1">
      <alignment vertical="center"/>
    </xf>
    <xf numFmtId="0" fontId="49" fillId="0" borderId="0" xfId="0" applyFont="1" applyAlignment="1">
      <alignment horizontal="center" vertical="center"/>
    </xf>
    <xf numFmtId="167" fontId="52" fillId="33" borderId="41" xfId="0" applyNumberFormat="1" applyFont="1" applyFill="1" applyBorder="1" applyAlignment="1">
      <alignment horizontal="center" vertical="center" textRotation="90"/>
    </xf>
    <xf numFmtId="167" fontId="52" fillId="33" borderId="43" xfId="0" applyNumberFormat="1" applyFont="1" applyFill="1" applyBorder="1" applyAlignment="1">
      <alignment horizontal="center" vertical="center" textRotation="90"/>
    </xf>
    <xf numFmtId="167" fontId="52" fillId="33" borderId="51" xfId="0" applyNumberFormat="1" applyFont="1" applyFill="1" applyBorder="1" applyAlignment="1">
      <alignment horizontal="center" vertical="center" textRotation="90"/>
    </xf>
    <xf numFmtId="2" fontId="49" fillId="29" borderId="13" xfId="0" applyNumberFormat="1" applyFont="1" applyFill="1" applyBorder="1" applyAlignment="1">
      <alignment horizontal="center" vertical="center" textRotation="90" wrapText="1"/>
    </xf>
    <xf numFmtId="167" fontId="49" fillId="34" borderId="13" xfId="0" applyNumberFormat="1" applyFont="1" applyFill="1" applyBorder="1" applyAlignment="1">
      <alignment horizontal="center" vertical="center" textRotation="90"/>
    </xf>
    <xf numFmtId="0" fontId="54" fillId="13" borderId="13" xfId="0" applyFont="1" applyFill="1" applyBorder="1" applyAlignment="1">
      <alignment horizontal="center" vertical="center" textRotation="90"/>
    </xf>
    <xf numFmtId="0" fontId="60" fillId="32" borderId="14" xfId="0" applyFont="1" applyFill="1" applyBorder="1" applyAlignment="1" applyProtection="1">
      <alignment horizontal="center" vertical="center" textRotation="90" wrapText="1"/>
      <protection locked="0"/>
    </xf>
    <xf numFmtId="0" fontId="60" fillId="32" borderId="15" xfId="0" applyFont="1" applyFill="1" applyBorder="1" applyAlignment="1" applyProtection="1">
      <alignment horizontal="center" vertical="center" textRotation="90" wrapText="1"/>
      <protection locked="0"/>
    </xf>
    <xf numFmtId="0" fontId="60" fillId="32" borderId="27" xfId="0" applyFont="1" applyFill="1" applyBorder="1" applyAlignment="1" applyProtection="1">
      <alignment horizontal="center" vertical="center" textRotation="90" wrapText="1"/>
      <protection locked="0"/>
    </xf>
    <xf numFmtId="0" fontId="65" fillId="22" borderId="13" xfId="0" applyFont="1" applyFill="1" applyBorder="1" applyAlignment="1">
      <alignment horizontal="center" vertical="center" textRotation="90" wrapText="1"/>
    </xf>
    <xf numFmtId="0" fontId="65" fillId="22" borderId="14" xfId="0" applyFont="1" applyFill="1" applyBorder="1" applyAlignment="1">
      <alignment horizontal="center" vertical="center" textRotation="90" wrapText="1"/>
    </xf>
    <xf numFmtId="0" fontId="61" fillId="14" borderId="13" xfId="0" applyFont="1" applyFill="1" applyBorder="1" applyAlignment="1">
      <alignment horizontal="center" vertical="center" textRotation="90" wrapText="1"/>
    </xf>
    <xf numFmtId="0" fontId="52" fillId="25" borderId="41" xfId="0" applyFont="1" applyFill="1" applyBorder="1" applyAlignment="1">
      <alignment horizontal="center" vertical="center" textRotation="90" wrapText="1"/>
    </xf>
    <xf numFmtId="0" fontId="52" fillId="25" borderId="43" xfId="0" applyFont="1" applyFill="1" applyBorder="1" applyAlignment="1">
      <alignment horizontal="center" vertical="center" textRotation="90" wrapText="1"/>
    </xf>
    <xf numFmtId="0" fontId="52" fillId="25" borderId="51" xfId="0" applyFont="1" applyFill="1" applyBorder="1" applyAlignment="1">
      <alignment horizontal="center" vertical="center" textRotation="90" wrapText="1"/>
    </xf>
    <xf numFmtId="0" fontId="49" fillId="13" borderId="13" xfId="0" applyFont="1" applyFill="1" applyBorder="1" applyAlignment="1" applyProtection="1">
      <alignment horizontal="center" vertical="center" wrapText="1"/>
      <protection locked="0"/>
    </xf>
    <xf numFmtId="0" fontId="69" fillId="13" borderId="13" xfId="0" applyFont="1" applyFill="1" applyBorder="1" applyAlignment="1">
      <alignment horizontal="center" vertical="center"/>
    </xf>
    <xf numFmtId="0" fontId="34" fillId="7" borderId="0" xfId="0" applyFont="1" applyFill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45" fillId="21" borderId="0" xfId="0" applyFont="1" applyFill="1" applyAlignment="1" applyProtection="1">
      <alignment horizontal="center" vertical="center"/>
      <protection locked="0"/>
    </xf>
    <xf numFmtId="0" fontId="49" fillId="13" borderId="13" xfId="0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6" fillId="24" borderId="13" xfId="0" applyFont="1" applyFill="1" applyBorder="1" applyAlignment="1" applyProtection="1">
      <alignment horizontal="center" vertical="center" wrapText="1"/>
      <protection locked="0"/>
    </xf>
    <xf numFmtId="0" fontId="49" fillId="20" borderId="13" xfId="0" applyFont="1" applyFill="1" applyBorder="1" applyAlignment="1" applyProtection="1">
      <alignment horizontal="center" vertical="center"/>
      <protection locked="0"/>
    </xf>
    <xf numFmtId="0" fontId="49" fillId="20" borderId="16" xfId="0" applyFont="1" applyFill="1" applyBorder="1" applyAlignment="1" applyProtection="1">
      <alignment horizontal="center" vertical="center"/>
      <protection locked="0"/>
    </xf>
    <xf numFmtId="0" fontId="49" fillId="20" borderId="17" xfId="0" applyFont="1" applyFill="1" applyBorder="1" applyAlignment="1" applyProtection="1">
      <alignment horizontal="center" vertical="center"/>
      <protection locked="0"/>
    </xf>
    <xf numFmtId="0" fontId="49" fillId="20" borderId="18" xfId="0" applyFont="1" applyFill="1" applyBorder="1" applyAlignment="1" applyProtection="1">
      <alignment horizontal="center" vertical="center"/>
      <protection locked="0"/>
    </xf>
    <xf numFmtId="0" fontId="60" fillId="18" borderId="13" xfId="0" applyFont="1" applyFill="1" applyBorder="1" applyAlignment="1" applyProtection="1">
      <alignment horizontal="center" vertical="center" wrapText="1"/>
      <protection locked="0"/>
    </xf>
    <xf numFmtId="0" fontId="48" fillId="11" borderId="16" xfId="0" applyFont="1" applyFill="1" applyBorder="1" applyAlignment="1" applyProtection="1">
      <alignment horizontal="center" vertical="center"/>
      <protection locked="0"/>
    </xf>
    <xf numFmtId="0" fontId="48" fillId="11" borderId="17" xfId="0" applyFont="1" applyFill="1" applyBorder="1" applyAlignment="1" applyProtection="1">
      <alignment horizontal="center" vertical="center"/>
      <protection locked="0"/>
    </xf>
    <xf numFmtId="0" fontId="48" fillId="11" borderId="18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49" fillId="11" borderId="16" xfId="0" applyFont="1" applyFill="1" applyBorder="1" applyAlignment="1" applyProtection="1">
      <alignment horizontal="center" vertical="center"/>
      <protection locked="0"/>
    </xf>
    <xf numFmtId="0" fontId="49" fillId="11" borderId="17" xfId="0" applyFont="1" applyFill="1" applyBorder="1" applyAlignment="1" applyProtection="1">
      <alignment horizontal="center" vertical="center"/>
      <protection locked="0"/>
    </xf>
    <xf numFmtId="0" fontId="49" fillId="11" borderId="18" xfId="0" applyFont="1" applyFill="1" applyBorder="1" applyAlignment="1" applyProtection="1">
      <alignment horizontal="center" vertical="center"/>
      <protection locked="0"/>
    </xf>
    <xf numFmtId="167" fontId="49" fillId="13" borderId="13" xfId="0" applyNumberFormat="1" applyFont="1" applyFill="1" applyBorder="1" applyAlignment="1">
      <alignment horizontal="center" vertical="center"/>
    </xf>
    <xf numFmtId="0" fontId="50" fillId="13" borderId="13" xfId="0" applyFont="1" applyFill="1" applyBorder="1" applyAlignment="1" applyProtection="1">
      <alignment horizontal="center" vertical="center" wrapText="1"/>
      <protection locked="0"/>
    </xf>
    <xf numFmtId="0" fontId="49" fillId="6" borderId="14" xfId="0" applyFont="1" applyFill="1" applyBorder="1" applyAlignment="1">
      <alignment horizontal="center" vertical="center"/>
    </xf>
    <xf numFmtId="0" fontId="49" fillId="6" borderId="27" xfId="0" applyFont="1" applyFill="1" applyBorder="1" applyAlignment="1">
      <alignment horizontal="center" vertical="center"/>
    </xf>
    <xf numFmtId="0" fontId="46" fillId="18" borderId="14" xfId="0" applyFont="1" applyFill="1" applyBorder="1" applyAlignment="1" applyProtection="1">
      <alignment horizontal="center" vertical="center" textRotation="90" wrapText="1"/>
      <protection locked="0"/>
    </xf>
    <xf numFmtId="0" fontId="46" fillId="18" borderId="15" xfId="0" applyFont="1" applyFill="1" applyBorder="1" applyAlignment="1" applyProtection="1">
      <alignment horizontal="center" vertical="center" textRotation="90" wrapText="1"/>
      <protection locked="0"/>
    </xf>
    <xf numFmtId="167" fontId="43" fillId="23" borderId="15" xfId="0" applyNumberFormat="1" applyFont="1" applyFill="1" applyBorder="1" applyAlignment="1" applyProtection="1">
      <alignment horizontal="center" vertical="center" textRotation="90" wrapText="1"/>
      <protection locked="0"/>
    </xf>
    <xf numFmtId="0" fontId="49" fillId="6" borderId="13" xfId="0" applyFont="1" applyFill="1" applyBorder="1" applyAlignment="1" applyProtection="1">
      <alignment horizontal="center" vertical="center"/>
      <protection locked="0"/>
    </xf>
    <xf numFmtId="0" fontId="50" fillId="6" borderId="13" xfId="0" applyFont="1" applyFill="1" applyBorder="1" applyAlignment="1" applyProtection="1">
      <alignment horizontal="center" vertical="center"/>
      <protection locked="0"/>
    </xf>
    <xf numFmtId="0" fontId="49" fillId="6" borderId="16" xfId="0" applyFont="1" applyFill="1" applyBorder="1" applyAlignment="1" applyProtection="1">
      <alignment horizontal="center" vertical="center"/>
      <protection locked="0"/>
    </xf>
    <xf numFmtId="0" fontId="49" fillId="6" borderId="17" xfId="0" applyFont="1" applyFill="1" applyBorder="1" applyAlignment="1" applyProtection="1">
      <alignment horizontal="center" vertical="center"/>
      <protection locked="0"/>
    </xf>
    <xf numFmtId="0" fontId="49" fillId="6" borderId="18" xfId="0" applyFont="1" applyFill="1" applyBorder="1" applyAlignment="1" applyProtection="1">
      <alignment horizontal="center" vertical="center"/>
      <protection locked="0"/>
    </xf>
    <xf numFmtId="0" fontId="37" fillId="0" borderId="17" xfId="0" applyFont="1" applyBorder="1" applyAlignment="1" applyProtection="1">
      <alignment horizontal="center" vertical="center" wrapText="1"/>
      <protection locked="0"/>
    </xf>
    <xf numFmtId="0" fontId="37" fillId="0" borderId="18" xfId="0" applyFont="1" applyBorder="1" applyAlignment="1" applyProtection="1">
      <alignment horizontal="center" vertical="center" wrapText="1"/>
      <protection locked="0"/>
    </xf>
    <xf numFmtId="0" fontId="47" fillId="18" borderId="23" xfId="0" applyFont="1" applyFill="1" applyBorder="1" applyAlignment="1" applyProtection="1">
      <alignment horizontal="center" vertical="center" textRotation="90" wrapText="1"/>
      <protection locked="0"/>
    </xf>
    <xf numFmtId="0" fontId="47" fillId="18" borderId="22" xfId="0" applyFont="1" applyFill="1" applyBorder="1" applyAlignment="1" applyProtection="1">
      <alignment horizontal="center" vertical="center" textRotation="90" wrapText="1"/>
      <protection locked="0"/>
    </xf>
    <xf numFmtId="0" fontId="61" fillId="18" borderId="16" xfId="0" applyFont="1" applyFill="1" applyBorder="1" applyAlignment="1" applyProtection="1">
      <alignment horizontal="center" vertical="center"/>
      <protection locked="0"/>
    </xf>
    <xf numFmtId="0" fontId="61" fillId="18" borderId="17" xfId="0" applyFont="1" applyFill="1" applyBorder="1" applyAlignment="1" applyProtection="1">
      <alignment horizontal="center" vertical="center"/>
      <protection locked="0"/>
    </xf>
    <xf numFmtId="0" fontId="61" fillId="18" borderId="18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167" fontId="36" fillId="19" borderId="22" xfId="0" applyNumberFormat="1" applyFont="1" applyFill="1" applyBorder="1" applyAlignment="1" applyProtection="1">
      <alignment horizontal="center" vertical="center" textRotation="90" wrapText="1"/>
      <protection locked="0"/>
    </xf>
    <xf numFmtId="0" fontId="49" fillId="13" borderId="16" xfId="0" applyFont="1" applyFill="1" applyBorder="1" applyAlignment="1" applyProtection="1">
      <alignment horizontal="center" vertical="center"/>
      <protection locked="0"/>
    </xf>
    <xf numFmtId="0" fontId="49" fillId="13" borderId="17" xfId="0" applyFont="1" applyFill="1" applyBorder="1" applyAlignment="1" applyProtection="1">
      <alignment horizontal="center" vertical="center"/>
      <protection locked="0"/>
    </xf>
    <xf numFmtId="0" fontId="49" fillId="13" borderId="18" xfId="0" applyFont="1" applyFill="1" applyBorder="1" applyAlignment="1" applyProtection="1">
      <alignment horizontal="center" vertical="center"/>
      <protection locked="0"/>
    </xf>
    <xf numFmtId="0" fontId="37" fillId="0" borderId="24" xfId="0" applyFont="1" applyBorder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9" borderId="19" xfId="0" applyFont="1" applyFill="1" applyBorder="1" applyAlignment="1" applyProtection="1">
      <alignment horizontal="center" vertical="center" wrapText="1"/>
      <protection locked="0"/>
    </xf>
    <xf numFmtId="0" fontId="37" fillId="9" borderId="23" xfId="0" applyFont="1" applyFill="1" applyBorder="1" applyAlignment="1" applyProtection="1">
      <alignment horizontal="center" vertical="center" wrapText="1"/>
      <protection locked="0"/>
    </xf>
    <xf numFmtId="0" fontId="37" fillId="9" borderId="24" xfId="0" applyFont="1" applyFill="1" applyBorder="1" applyAlignment="1" applyProtection="1">
      <alignment horizontal="center" vertical="center" wrapText="1"/>
      <protection locked="0"/>
    </xf>
    <xf numFmtId="0" fontId="37" fillId="9" borderId="22" xfId="0" applyFont="1" applyFill="1" applyBorder="1" applyAlignment="1" applyProtection="1">
      <alignment horizontal="center" vertical="center" wrapText="1"/>
      <protection locked="0"/>
    </xf>
    <xf numFmtId="0" fontId="37" fillId="9" borderId="25" xfId="0" applyFont="1" applyFill="1" applyBorder="1" applyAlignment="1" applyProtection="1">
      <alignment horizontal="center" vertical="center" wrapText="1"/>
      <protection locked="0"/>
    </xf>
    <xf numFmtId="0" fontId="37" fillId="9" borderId="26" xfId="0" applyFont="1" applyFill="1" applyBorder="1" applyAlignment="1" applyProtection="1">
      <alignment horizontal="center" vertical="center" wrapText="1"/>
      <protection locked="0"/>
    </xf>
    <xf numFmtId="0" fontId="47" fillId="13" borderId="13" xfId="0" applyFont="1" applyFill="1" applyBorder="1" applyAlignment="1" applyProtection="1">
      <alignment horizontal="center" vertical="center"/>
      <protection locked="0"/>
    </xf>
    <xf numFmtId="167" fontId="38" fillId="3" borderId="36" xfId="0" applyNumberFormat="1" applyFont="1" applyFill="1" applyBorder="1" applyAlignment="1" applyProtection="1">
      <alignment horizontal="center" vertical="center" textRotation="90" wrapText="1"/>
      <protection locked="0"/>
    </xf>
    <xf numFmtId="167" fontId="38" fillId="3" borderId="15" xfId="0" applyNumberFormat="1" applyFont="1" applyFill="1" applyBorder="1" applyAlignment="1" applyProtection="1">
      <alignment horizontal="center" vertical="center" textRotation="90" wrapText="1"/>
      <protection locked="0"/>
    </xf>
    <xf numFmtId="0" fontId="47" fillId="11" borderId="13" xfId="0" applyFont="1" applyFill="1" applyBorder="1" applyAlignment="1" applyProtection="1">
      <alignment horizontal="center" vertical="center"/>
      <protection locked="0"/>
    </xf>
    <xf numFmtId="0" fontId="38" fillId="9" borderId="13" xfId="0" applyFont="1" applyFill="1" applyBorder="1" applyAlignment="1" applyProtection="1">
      <alignment horizontal="center" vertical="center"/>
      <protection locked="0"/>
    </xf>
    <xf numFmtId="0" fontId="50" fillId="11" borderId="13" xfId="0" applyFont="1" applyFill="1" applyBorder="1" applyAlignment="1" applyProtection="1">
      <alignment horizontal="center" vertical="center"/>
      <protection locked="0"/>
    </xf>
    <xf numFmtId="0" fontId="38" fillId="13" borderId="13" xfId="0" applyFont="1" applyFill="1" applyBorder="1" applyAlignment="1" applyProtection="1">
      <alignment horizontal="center" vertical="center"/>
      <protection locked="0"/>
    </xf>
    <xf numFmtId="167" fontId="47" fillId="11" borderId="14" xfId="0" applyNumberFormat="1" applyFont="1" applyFill="1" applyBorder="1" applyAlignment="1">
      <alignment horizontal="center" vertical="center"/>
    </xf>
    <xf numFmtId="167" fontId="0" fillId="0" borderId="27" xfId="0" applyNumberFormat="1" applyBorder="1"/>
    <xf numFmtId="0" fontId="40" fillId="19" borderId="13" xfId="0" applyFont="1" applyFill="1" applyBorder="1" applyAlignment="1" applyProtection="1">
      <alignment horizontal="center" vertical="center"/>
      <protection locked="0"/>
    </xf>
    <xf numFmtId="0" fontId="52" fillId="6" borderId="13" xfId="0" applyFont="1" applyFill="1" applyBorder="1" applyAlignment="1" applyProtection="1">
      <alignment horizontal="center" vertical="center" wrapText="1"/>
      <protection locked="0"/>
    </xf>
    <xf numFmtId="0" fontId="49" fillId="22" borderId="20" xfId="0" applyFont="1" applyFill="1" applyBorder="1" applyAlignment="1" applyProtection="1">
      <alignment horizontal="center" vertical="center"/>
      <protection locked="0"/>
    </xf>
    <xf numFmtId="0" fontId="55" fillId="19" borderId="30" xfId="0" applyFont="1" applyFill="1" applyBorder="1" applyAlignment="1" applyProtection="1">
      <alignment horizontal="center" vertical="center" wrapText="1"/>
      <protection locked="0"/>
    </xf>
    <xf numFmtId="0" fontId="55" fillId="19" borderId="31" xfId="0" applyFont="1" applyFill="1" applyBorder="1" applyAlignment="1" applyProtection="1">
      <alignment horizontal="center" vertical="center" wrapText="1"/>
      <protection locked="0"/>
    </xf>
    <xf numFmtId="0" fontId="55" fillId="19" borderId="0" xfId="0" applyFont="1" applyFill="1" applyAlignment="1" applyProtection="1">
      <alignment horizontal="center" vertical="center" wrapText="1"/>
      <protection locked="0"/>
    </xf>
    <xf numFmtId="0" fontId="55" fillId="19" borderId="39" xfId="0" applyFont="1" applyFill="1" applyBorder="1" applyAlignment="1" applyProtection="1">
      <alignment horizontal="center" vertical="center" wrapText="1"/>
      <protection locked="0"/>
    </xf>
    <xf numFmtId="0" fontId="55" fillId="19" borderId="21" xfId="0" applyFont="1" applyFill="1" applyBorder="1" applyAlignment="1" applyProtection="1">
      <alignment horizontal="center" vertical="center" wrapText="1"/>
      <protection locked="0"/>
    </xf>
    <xf numFmtId="0" fontId="55" fillId="19" borderId="40" xfId="0" applyFont="1" applyFill="1" applyBorder="1" applyAlignment="1" applyProtection="1">
      <alignment horizontal="center" vertical="center" wrapText="1"/>
      <protection locked="0"/>
    </xf>
    <xf numFmtId="0" fontId="47" fillId="22" borderId="33" xfId="0" applyFont="1" applyFill="1" applyBorder="1" applyAlignment="1" applyProtection="1">
      <alignment horizontal="center" vertical="center" wrapText="1"/>
      <protection locked="0"/>
    </xf>
    <xf numFmtId="0" fontId="47" fillId="22" borderId="34" xfId="0" applyFont="1" applyFill="1" applyBorder="1" applyAlignment="1" applyProtection="1">
      <alignment horizontal="center" vertical="center" wrapText="1"/>
      <protection locked="0"/>
    </xf>
    <xf numFmtId="0" fontId="47" fillId="22" borderId="35" xfId="0" applyFont="1" applyFill="1" applyBorder="1" applyAlignment="1" applyProtection="1">
      <alignment horizontal="center" vertical="center" wrapText="1"/>
      <protection locked="0"/>
    </xf>
    <xf numFmtId="0" fontId="46" fillId="18" borderId="38" xfId="0" applyFont="1" applyFill="1" applyBorder="1" applyAlignment="1" applyProtection="1">
      <alignment horizontal="center" vertical="center" wrapText="1"/>
      <protection locked="0"/>
    </xf>
    <xf numFmtId="0" fontId="46" fillId="18" borderId="0" xfId="0" applyFont="1" applyFill="1" applyAlignment="1" applyProtection="1">
      <alignment horizontal="center" vertical="center" wrapText="1"/>
      <protection locked="0"/>
    </xf>
    <xf numFmtId="0" fontId="46" fillId="18" borderId="37" xfId="0" applyFont="1" applyFill="1" applyBorder="1" applyAlignment="1" applyProtection="1">
      <alignment horizontal="center" vertical="center" wrapText="1"/>
      <protection locked="0"/>
    </xf>
    <xf numFmtId="0" fontId="46" fillId="18" borderId="21" xfId="0" applyFont="1" applyFill="1" applyBorder="1" applyAlignment="1" applyProtection="1">
      <alignment horizontal="center" vertical="center" wrapText="1"/>
      <protection locked="0"/>
    </xf>
    <xf numFmtId="0" fontId="38" fillId="25" borderId="16" xfId="0" applyFont="1" applyFill="1" applyBorder="1" applyAlignment="1" applyProtection="1">
      <alignment horizontal="right" vertical="center"/>
      <protection locked="0"/>
    </xf>
    <xf numFmtId="0" fontId="38" fillId="25" borderId="17" xfId="0" applyFont="1" applyFill="1" applyBorder="1" applyAlignment="1" applyProtection="1">
      <alignment horizontal="right" vertical="center"/>
      <protection locked="0"/>
    </xf>
    <xf numFmtId="0" fontId="38" fillId="25" borderId="18" xfId="0" applyFont="1" applyFill="1" applyBorder="1" applyAlignment="1" applyProtection="1">
      <alignment horizontal="right" vertical="center"/>
      <protection locked="0"/>
    </xf>
    <xf numFmtId="0" fontId="47" fillId="11" borderId="18" xfId="0" applyFont="1" applyFill="1" applyBorder="1" applyAlignment="1" applyProtection="1">
      <alignment horizontal="center" vertical="center"/>
      <protection locked="0"/>
    </xf>
    <xf numFmtId="0" fontId="33" fillId="8" borderId="13" xfId="0" applyFont="1" applyFill="1" applyBorder="1" applyAlignment="1" applyProtection="1">
      <alignment horizontal="center" vertical="center"/>
      <protection locked="0"/>
    </xf>
    <xf numFmtId="0" fontId="47" fillId="18" borderId="13" xfId="0" applyFont="1" applyFill="1" applyBorder="1" applyAlignment="1" applyProtection="1">
      <alignment horizontal="center" vertical="center" wrapText="1"/>
      <protection locked="0"/>
    </xf>
    <xf numFmtId="0" fontId="56" fillId="23" borderId="13" xfId="0" applyFont="1" applyFill="1" applyBorder="1" applyAlignment="1" applyProtection="1">
      <alignment horizontal="center" vertical="center"/>
      <protection locked="0"/>
    </xf>
    <xf numFmtId="0" fontId="49" fillId="3" borderId="0" xfId="0" applyFont="1" applyFill="1" applyAlignment="1" applyProtection="1">
      <alignment horizontal="center" vertical="center" wrapText="1"/>
      <protection locked="0"/>
    </xf>
    <xf numFmtId="0" fontId="49" fillId="3" borderId="21" xfId="0" applyFont="1" applyFill="1" applyBorder="1" applyAlignment="1" applyProtection="1">
      <alignment horizontal="center" vertical="center" wrapText="1"/>
      <protection locked="0"/>
    </xf>
    <xf numFmtId="0" fontId="52" fillId="3" borderId="27" xfId="0" applyFont="1" applyFill="1" applyBorder="1" applyAlignment="1" applyProtection="1">
      <alignment horizontal="center" vertical="center" wrapText="1"/>
      <protection locked="0"/>
    </xf>
    <xf numFmtId="0" fontId="52" fillId="3" borderId="13" xfId="0" applyFont="1" applyFill="1" applyBorder="1" applyAlignment="1" applyProtection="1">
      <alignment horizontal="center" vertical="center" wrapText="1"/>
      <protection locked="0"/>
    </xf>
    <xf numFmtId="0" fontId="52" fillId="3" borderId="14" xfId="0" applyFont="1" applyFill="1" applyBorder="1" applyAlignment="1" applyProtection="1">
      <alignment horizontal="center" vertical="center" wrapText="1"/>
      <protection locked="0"/>
    </xf>
    <xf numFmtId="0" fontId="52" fillId="6" borderId="27" xfId="0" applyFont="1" applyFill="1" applyBorder="1" applyAlignment="1" applyProtection="1">
      <alignment horizontal="center" vertical="center"/>
      <protection locked="0"/>
    </xf>
    <xf numFmtId="0" fontId="52" fillId="6" borderId="14" xfId="0" applyFont="1" applyFill="1" applyBorder="1" applyAlignment="1" applyProtection="1">
      <alignment horizontal="center" vertical="center" wrapText="1"/>
      <protection locked="0"/>
    </xf>
    <xf numFmtId="0" fontId="52" fillId="6" borderId="27" xfId="0" applyFont="1" applyFill="1" applyBorder="1" applyAlignment="1" applyProtection="1">
      <alignment horizontal="center" vertical="center" wrapText="1"/>
      <protection locked="0"/>
    </xf>
    <xf numFmtId="0" fontId="33" fillId="8" borderId="13" xfId="0" applyFont="1" applyFill="1" applyBorder="1" applyAlignment="1">
      <alignment horizontal="center" vertical="center"/>
    </xf>
    <xf numFmtId="0" fontId="47" fillId="18" borderId="13" xfId="0" applyFont="1" applyFill="1" applyBorder="1" applyAlignment="1">
      <alignment horizontal="center" vertical="center" wrapText="1"/>
    </xf>
    <xf numFmtId="0" fontId="56" fillId="23" borderId="13" xfId="0" applyFont="1" applyFill="1" applyBorder="1" applyAlignment="1">
      <alignment horizontal="center" vertical="center"/>
    </xf>
    <xf numFmtId="0" fontId="49" fillId="3" borderId="0" xfId="0" applyFont="1" applyFill="1" applyAlignment="1">
      <alignment horizontal="center" vertical="center" wrapText="1"/>
    </xf>
    <xf numFmtId="0" fontId="49" fillId="3" borderId="21" xfId="0" applyFont="1" applyFill="1" applyBorder="1" applyAlignment="1">
      <alignment horizontal="center" vertical="center" wrapText="1"/>
    </xf>
    <xf numFmtId="0" fontId="52" fillId="3" borderId="27" xfId="0" applyFont="1" applyFill="1" applyBorder="1" applyAlignment="1">
      <alignment horizontal="center" vertical="center" wrapText="1"/>
    </xf>
    <xf numFmtId="0" fontId="52" fillId="3" borderId="13" xfId="0" applyFont="1" applyFill="1" applyBorder="1" applyAlignment="1">
      <alignment horizontal="center" vertical="center" wrapText="1"/>
    </xf>
    <xf numFmtId="0" fontId="52" fillId="3" borderId="14" xfId="0" applyFont="1" applyFill="1" applyBorder="1" applyAlignment="1">
      <alignment horizontal="center" vertical="center" wrapText="1"/>
    </xf>
    <xf numFmtId="0" fontId="52" fillId="6" borderId="27" xfId="0" applyFont="1" applyFill="1" applyBorder="1" applyAlignment="1">
      <alignment horizontal="center" vertical="center"/>
    </xf>
    <xf numFmtId="0" fontId="52" fillId="6" borderId="14" xfId="0" applyFont="1" applyFill="1" applyBorder="1" applyAlignment="1">
      <alignment horizontal="center" vertical="center" wrapText="1"/>
    </xf>
    <xf numFmtId="0" fontId="52" fillId="6" borderId="27" xfId="0" applyFont="1" applyFill="1" applyBorder="1" applyAlignment="1">
      <alignment horizontal="center" vertical="center" wrapText="1"/>
    </xf>
    <xf numFmtId="0" fontId="52" fillId="6" borderId="13" xfId="0" applyFont="1" applyFill="1" applyBorder="1" applyAlignment="1">
      <alignment horizontal="center" vertical="center" wrapText="1"/>
    </xf>
    <xf numFmtId="0" fontId="49" fillId="22" borderId="20" xfId="0" applyFont="1" applyFill="1" applyBorder="1" applyAlignment="1">
      <alignment horizontal="center" vertical="center"/>
    </xf>
    <xf numFmtId="0" fontId="55" fillId="19" borderId="30" xfId="0" applyFont="1" applyFill="1" applyBorder="1" applyAlignment="1">
      <alignment horizontal="center" vertical="center" wrapText="1"/>
    </xf>
    <xf numFmtId="0" fontId="55" fillId="19" borderId="31" xfId="0" applyFont="1" applyFill="1" applyBorder="1" applyAlignment="1">
      <alignment horizontal="center" vertical="center" wrapText="1"/>
    </xf>
    <xf numFmtId="0" fontId="55" fillId="19" borderId="0" xfId="0" applyFont="1" applyFill="1" applyAlignment="1">
      <alignment horizontal="center" vertical="center" wrapText="1"/>
    </xf>
    <xf numFmtId="0" fontId="55" fillId="19" borderId="39" xfId="0" applyFont="1" applyFill="1" applyBorder="1" applyAlignment="1">
      <alignment horizontal="center" vertical="center" wrapText="1"/>
    </xf>
    <xf numFmtId="0" fontId="55" fillId="19" borderId="21" xfId="0" applyFont="1" applyFill="1" applyBorder="1" applyAlignment="1">
      <alignment horizontal="center" vertical="center" wrapText="1"/>
    </xf>
    <xf numFmtId="0" fontId="55" fillId="19" borderId="40" xfId="0" applyFont="1" applyFill="1" applyBorder="1" applyAlignment="1">
      <alignment horizontal="center" vertical="center" wrapText="1"/>
    </xf>
    <xf numFmtId="0" fontId="47" fillId="22" borderId="33" xfId="0" applyFont="1" applyFill="1" applyBorder="1" applyAlignment="1">
      <alignment horizontal="center" vertical="center" wrapText="1"/>
    </xf>
    <xf numFmtId="0" fontId="47" fillId="22" borderId="34" xfId="0" applyFont="1" applyFill="1" applyBorder="1" applyAlignment="1">
      <alignment horizontal="center" vertical="center" wrapText="1"/>
    </xf>
    <xf numFmtId="0" fontId="47" fillId="22" borderId="35" xfId="0" applyFont="1" applyFill="1" applyBorder="1" applyAlignment="1">
      <alignment horizontal="center" vertical="center" wrapText="1"/>
    </xf>
    <xf numFmtId="0" fontId="46" fillId="18" borderId="38" xfId="0" applyFont="1" applyFill="1" applyBorder="1" applyAlignment="1">
      <alignment horizontal="center" vertical="center" wrapText="1"/>
    </xf>
    <xf numFmtId="0" fontId="46" fillId="18" borderId="0" xfId="0" applyFont="1" applyFill="1" applyAlignment="1">
      <alignment horizontal="center" vertical="center" wrapText="1"/>
    </xf>
    <xf numFmtId="0" fontId="46" fillId="18" borderId="37" xfId="0" applyFont="1" applyFill="1" applyBorder="1" applyAlignment="1">
      <alignment horizontal="center" vertical="center" wrapText="1"/>
    </xf>
    <xf numFmtId="0" fontId="46" fillId="18" borderId="21" xfId="0" applyFont="1" applyFill="1" applyBorder="1" applyAlignment="1">
      <alignment horizontal="center" vertical="center" wrapText="1"/>
    </xf>
    <xf numFmtId="0" fontId="38" fillId="25" borderId="16" xfId="0" applyFont="1" applyFill="1" applyBorder="1" applyAlignment="1">
      <alignment horizontal="right" vertical="center"/>
    </xf>
    <xf numFmtId="0" fontId="38" fillId="25" borderId="17" xfId="0" applyFont="1" applyFill="1" applyBorder="1" applyAlignment="1">
      <alignment horizontal="right" vertical="center"/>
    </xf>
    <xf numFmtId="0" fontId="38" fillId="25" borderId="18" xfId="0" applyFont="1" applyFill="1" applyBorder="1" applyAlignment="1">
      <alignment horizontal="right" vertical="center"/>
    </xf>
    <xf numFmtId="0" fontId="47" fillId="11" borderId="18" xfId="0" applyFont="1" applyFill="1" applyBorder="1" applyAlignment="1">
      <alignment horizontal="center" vertical="center"/>
    </xf>
    <xf numFmtId="0" fontId="47" fillId="11" borderId="13" xfId="0" applyFont="1" applyFill="1" applyBorder="1" applyAlignment="1">
      <alignment horizontal="center" vertical="center"/>
    </xf>
    <xf numFmtId="0" fontId="37" fillId="0" borderId="24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0" fontId="37" fillId="9" borderId="23" xfId="0" applyFont="1" applyFill="1" applyBorder="1" applyAlignment="1">
      <alignment horizontal="center" vertical="center" wrapText="1"/>
    </xf>
    <xf numFmtId="0" fontId="37" fillId="9" borderId="24" xfId="0" applyFont="1" applyFill="1" applyBorder="1" applyAlignment="1">
      <alignment horizontal="center"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7" fillId="9" borderId="26" xfId="0" applyFont="1" applyFill="1" applyBorder="1" applyAlignment="1">
      <alignment horizontal="center" vertical="center" wrapText="1"/>
    </xf>
    <xf numFmtId="0" fontId="47" fillId="13" borderId="13" xfId="0" applyFont="1" applyFill="1" applyBorder="1" applyAlignment="1">
      <alignment horizontal="center" vertical="center"/>
    </xf>
    <xf numFmtId="167" fontId="38" fillId="3" borderId="36" xfId="0" applyNumberFormat="1" applyFont="1" applyFill="1" applyBorder="1" applyAlignment="1">
      <alignment horizontal="center" vertical="center" textRotation="90" wrapText="1"/>
    </xf>
    <xf numFmtId="167" fontId="38" fillId="3" borderId="15" xfId="0" applyNumberFormat="1" applyFont="1" applyFill="1" applyBorder="1" applyAlignment="1">
      <alignment horizontal="center" vertical="center" textRotation="90" wrapText="1"/>
    </xf>
    <xf numFmtId="0" fontId="38" fillId="9" borderId="13" xfId="0" applyFont="1" applyFill="1" applyBorder="1" applyAlignment="1">
      <alignment horizontal="center" vertical="center"/>
    </xf>
    <xf numFmtId="0" fontId="50" fillId="11" borderId="13" xfId="0" applyFont="1" applyFill="1" applyBorder="1" applyAlignment="1">
      <alignment horizontal="center" vertical="center"/>
    </xf>
    <xf numFmtId="0" fontId="38" fillId="13" borderId="13" xfId="0" applyFont="1" applyFill="1" applyBorder="1" applyAlignment="1">
      <alignment horizontal="center" vertical="center"/>
    </xf>
    <xf numFmtId="0" fontId="40" fillId="19" borderId="13" xfId="0" applyFont="1" applyFill="1" applyBorder="1" applyAlignment="1">
      <alignment horizontal="center" vertical="center"/>
    </xf>
    <xf numFmtId="0" fontId="46" fillId="18" borderId="14" xfId="0" applyFont="1" applyFill="1" applyBorder="1" applyAlignment="1">
      <alignment horizontal="center" vertical="center" textRotation="90" wrapText="1"/>
    </xf>
    <xf numFmtId="0" fontId="46" fillId="18" borderId="15" xfId="0" applyFont="1" applyFill="1" applyBorder="1" applyAlignment="1">
      <alignment horizontal="center" vertical="center" textRotation="90" wrapText="1"/>
    </xf>
    <xf numFmtId="167" fontId="43" fillId="23" borderId="15" xfId="0" applyNumberFormat="1" applyFont="1" applyFill="1" applyBorder="1" applyAlignment="1">
      <alignment horizontal="center" vertical="center" textRotation="90" wrapText="1"/>
    </xf>
    <xf numFmtId="0" fontId="49" fillId="6" borderId="13" xfId="0" applyFont="1" applyFill="1" applyBorder="1" applyAlignment="1">
      <alignment horizontal="center" vertical="center"/>
    </xf>
    <xf numFmtId="0" fontId="50" fillId="6" borderId="13" xfId="0" applyFont="1" applyFill="1" applyBorder="1" applyAlignment="1">
      <alignment horizontal="center" vertical="center"/>
    </xf>
    <xf numFmtId="0" fontId="49" fillId="6" borderId="16" xfId="0" applyFont="1" applyFill="1" applyBorder="1" applyAlignment="1">
      <alignment horizontal="center" vertical="center"/>
    </xf>
    <xf numFmtId="0" fontId="49" fillId="6" borderId="17" xfId="0" applyFont="1" applyFill="1" applyBorder="1" applyAlignment="1">
      <alignment horizontal="center" vertical="center"/>
    </xf>
    <xf numFmtId="0" fontId="49" fillId="6" borderId="18" xfId="0" applyFont="1" applyFill="1" applyBorder="1" applyAlignment="1">
      <alignment horizontal="center" vertical="center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47" fillId="18" borderId="23" xfId="0" applyFont="1" applyFill="1" applyBorder="1" applyAlignment="1">
      <alignment horizontal="center" vertical="center" textRotation="90" wrapText="1"/>
    </xf>
    <xf numFmtId="0" fontId="47" fillId="18" borderId="22" xfId="0" applyFont="1" applyFill="1" applyBorder="1" applyAlignment="1">
      <alignment horizontal="center" vertical="center" textRotation="90" wrapText="1"/>
    </xf>
    <xf numFmtId="0" fontId="61" fillId="18" borderId="16" xfId="0" applyFont="1" applyFill="1" applyBorder="1" applyAlignment="1">
      <alignment horizontal="center" vertical="center"/>
    </xf>
    <xf numFmtId="0" fontId="61" fillId="18" borderId="17" xfId="0" applyFont="1" applyFill="1" applyBorder="1" applyAlignment="1">
      <alignment horizontal="center" vertical="center"/>
    </xf>
    <xf numFmtId="0" fontId="61" fillId="18" borderId="18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67" fontId="36" fillId="19" borderId="22" xfId="0" applyNumberFormat="1" applyFont="1" applyFill="1" applyBorder="1" applyAlignment="1">
      <alignment horizontal="center" vertical="center" textRotation="90" wrapText="1"/>
    </xf>
    <xf numFmtId="0" fontId="49" fillId="13" borderId="13" xfId="0" applyFont="1" applyFill="1" applyBorder="1" applyAlignment="1">
      <alignment horizontal="center" vertical="center"/>
    </xf>
    <xf numFmtId="0" fontId="50" fillId="13" borderId="13" xfId="0" applyFont="1" applyFill="1" applyBorder="1" applyAlignment="1">
      <alignment horizontal="center" vertical="center" wrapText="1"/>
    </xf>
    <xf numFmtId="0" fontId="45" fillId="21" borderId="0" xfId="0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6" fillId="24" borderId="13" xfId="0" applyFont="1" applyFill="1" applyBorder="1" applyAlignment="1">
      <alignment horizontal="center" vertical="center" wrapText="1"/>
    </xf>
    <xf numFmtId="0" fontId="49" fillId="20" borderId="13" xfId="0" applyFont="1" applyFill="1" applyBorder="1" applyAlignment="1">
      <alignment horizontal="center" vertical="center"/>
    </xf>
    <xf numFmtId="0" fontId="49" fillId="20" borderId="16" xfId="0" applyFont="1" applyFill="1" applyBorder="1" applyAlignment="1">
      <alignment horizontal="center" vertical="center"/>
    </xf>
    <xf numFmtId="0" fontId="49" fillId="20" borderId="17" xfId="0" applyFont="1" applyFill="1" applyBorder="1" applyAlignment="1">
      <alignment horizontal="center" vertical="center"/>
    </xf>
    <xf numFmtId="0" fontId="49" fillId="20" borderId="18" xfId="0" applyFont="1" applyFill="1" applyBorder="1" applyAlignment="1">
      <alignment horizontal="center" vertical="center"/>
    </xf>
    <xf numFmtId="0" fontId="60" fillId="18" borderId="13" xfId="0" applyFont="1" applyFill="1" applyBorder="1" applyAlignment="1">
      <alignment horizontal="center" vertical="center" wrapText="1"/>
    </xf>
    <xf numFmtId="0" fontId="48" fillId="11" borderId="16" xfId="0" applyFont="1" applyFill="1" applyBorder="1" applyAlignment="1">
      <alignment horizontal="center" vertical="center"/>
    </xf>
    <xf numFmtId="0" fontId="48" fillId="11" borderId="17" xfId="0" applyFont="1" applyFill="1" applyBorder="1" applyAlignment="1">
      <alignment horizontal="center" vertical="center"/>
    </xf>
    <xf numFmtId="0" fontId="48" fillId="11" borderId="18" xfId="0" applyFont="1" applyFill="1" applyBorder="1" applyAlignment="1">
      <alignment horizontal="center" vertical="center"/>
    </xf>
    <xf numFmtId="0" fontId="49" fillId="11" borderId="16" xfId="0" applyFont="1" applyFill="1" applyBorder="1" applyAlignment="1">
      <alignment horizontal="center" vertical="center"/>
    </xf>
    <xf numFmtId="0" fontId="49" fillId="11" borderId="17" xfId="0" applyFont="1" applyFill="1" applyBorder="1" applyAlignment="1">
      <alignment horizontal="center" vertical="center"/>
    </xf>
    <xf numFmtId="0" fontId="49" fillId="11" borderId="18" xfId="0" applyFont="1" applyFill="1" applyBorder="1" applyAlignment="1">
      <alignment horizontal="center" vertical="center"/>
    </xf>
    <xf numFmtId="0" fontId="56" fillId="23" borderId="14" xfId="0" applyFont="1" applyFill="1" applyBorder="1" applyAlignment="1">
      <alignment horizontal="center" vertical="center"/>
    </xf>
    <xf numFmtId="0" fontId="52" fillId="6" borderId="25" xfId="0" applyFont="1" applyFill="1" applyBorder="1" applyAlignment="1">
      <alignment horizontal="center" vertical="center"/>
    </xf>
    <xf numFmtId="0" fontId="52" fillId="21" borderId="41" xfId="0" applyFont="1" applyFill="1" applyBorder="1" applyAlignment="1">
      <alignment horizontal="center" vertical="center"/>
    </xf>
    <xf numFmtId="0" fontId="52" fillId="21" borderId="42" xfId="0" applyFont="1" applyFill="1" applyBorder="1" applyAlignment="1">
      <alignment horizontal="center" vertical="center"/>
    </xf>
    <xf numFmtId="0" fontId="52" fillId="6" borderId="26" xfId="0" applyFont="1" applyFill="1" applyBorder="1" applyAlignment="1">
      <alignment horizontal="center" vertical="center"/>
    </xf>
    <xf numFmtId="0" fontId="54" fillId="6" borderId="19" xfId="0" applyFont="1" applyFill="1" applyBorder="1" applyAlignment="1">
      <alignment horizontal="center" vertical="center" wrapText="1"/>
    </xf>
    <xf numFmtId="0" fontId="54" fillId="6" borderId="25" xfId="0" applyFont="1" applyFill="1" applyBorder="1" applyAlignment="1">
      <alignment horizontal="center" vertical="center" wrapText="1"/>
    </xf>
    <xf numFmtId="0" fontId="52" fillId="14" borderId="43" xfId="0" applyFont="1" applyFill="1" applyBorder="1" applyAlignment="1">
      <alignment horizontal="center" vertical="center" wrapText="1"/>
    </xf>
    <xf numFmtId="0" fontId="52" fillId="14" borderId="44" xfId="0" applyFont="1" applyFill="1" applyBorder="1" applyAlignment="1">
      <alignment horizontal="center" vertical="center" wrapText="1"/>
    </xf>
    <xf numFmtId="0" fontId="52" fillId="6" borderId="18" xfId="0" applyFont="1" applyFill="1" applyBorder="1" applyAlignment="1">
      <alignment horizontal="center" vertical="center" wrapText="1"/>
    </xf>
    <xf numFmtId="167" fontId="47" fillId="11" borderId="27" xfId="0" applyNumberFormat="1" applyFont="1" applyFill="1" applyBorder="1" applyAlignment="1">
      <alignment horizontal="center" vertical="center"/>
    </xf>
    <xf numFmtId="0" fontId="49" fillId="22" borderId="0" xfId="0" applyFont="1" applyFill="1" applyAlignment="1">
      <alignment horizontal="center" vertical="center"/>
    </xf>
    <xf numFmtId="0" fontId="54" fillId="13" borderId="13" xfId="0" applyFont="1" applyFill="1" applyBorder="1" applyAlignment="1">
      <alignment horizontal="center" vertical="center"/>
    </xf>
    <xf numFmtId="167" fontId="38" fillId="3" borderId="33" xfId="0" applyNumberFormat="1" applyFont="1" applyFill="1" applyBorder="1" applyAlignment="1">
      <alignment horizontal="center" vertical="center" textRotation="90" wrapText="1"/>
    </xf>
    <xf numFmtId="167" fontId="38" fillId="3" borderId="34" xfId="0" applyNumberFormat="1" applyFont="1" applyFill="1" applyBorder="1" applyAlignment="1">
      <alignment horizontal="center" vertical="center" textRotation="90" wrapText="1"/>
    </xf>
    <xf numFmtId="167" fontId="38" fillId="3" borderId="35" xfId="0" applyNumberFormat="1" applyFont="1" applyFill="1" applyBorder="1" applyAlignment="1">
      <alignment horizontal="center" vertical="center" textRotation="90" wrapText="1"/>
    </xf>
    <xf numFmtId="0" fontId="50" fillId="11" borderId="18" xfId="0" applyFont="1" applyFill="1" applyBorder="1" applyAlignment="1">
      <alignment horizontal="center" vertical="center"/>
    </xf>
    <xf numFmtId="0" fontId="53" fillId="13" borderId="13" xfId="0" applyFont="1" applyFill="1" applyBorder="1" applyAlignment="1">
      <alignment horizontal="center" vertical="center"/>
    </xf>
    <xf numFmtId="0" fontId="60" fillId="18" borderId="16" xfId="0" applyFont="1" applyFill="1" applyBorder="1" applyAlignment="1">
      <alignment horizontal="center" vertical="center"/>
    </xf>
    <xf numFmtId="0" fontId="60" fillId="18" borderId="17" xfId="0" applyFont="1" applyFill="1" applyBorder="1" applyAlignment="1">
      <alignment horizontal="center" vertical="center"/>
    </xf>
    <xf numFmtId="0" fontId="60" fillId="18" borderId="18" xfId="0" applyFont="1" applyFill="1" applyBorder="1" applyAlignment="1">
      <alignment horizontal="center" vertical="center"/>
    </xf>
    <xf numFmtId="0" fontId="46" fillId="18" borderId="23" xfId="0" applyFont="1" applyFill="1" applyBorder="1" applyAlignment="1">
      <alignment horizontal="center" vertical="center" textRotation="90" wrapText="1"/>
    </xf>
    <xf numFmtId="0" fontId="46" fillId="18" borderId="22" xfId="0" applyFont="1" applyFill="1" applyBorder="1" applyAlignment="1">
      <alignment horizontal="center" vertical="center" textRotation="90" wrapText="1"/>
    </xf>
    <xf numFmtId="0" fontId="33" fillId="8" borderId="21" xfId="0" applyFont="1" applyFill="1" applyBorder="1" applyAlignment="1">
      <alignment horizontal="center" vertical="center"/>
    </xf>
    <xf numFmtId="0" fontId="33" fillId="8" borderId="28" xfId="0" applyFont="1" applyFill="1" applyBorder="1" applyAlignment="1">
      <alignment horizontal="center" vertical="center"/>
    </xf>
    <xf numFmtId="167" fontId="43" fillId="23" borderId="33" xfId="0" applyNumberFormat="1" applyFont="1" applyFill="1" applyBorder="1" applyAlignment="1">
      <alignment horizontal="center" vertical="center" textRotation="90" wrapText="1"/>
    </xf>
    <xf numFmtId="167" fontId="43" fillId="23" borderId="34" xfId="0" applyNumberFormat="1" applyFont="1" applyFill="1" applyBorder="1" applyAlignment="1">
      <alignment horizontal="center" vertical="center" textRotation="90" wrapText="1"/>
    </xf>
    <xf numFmtId="167" fontId="43" fillId="23" borderId="35" xfId="0" applyNumberFormat="1" applyFont="1" applyFill="1" applyBorder="1" applyAlignment="1">
      <alignment horizontal="center" vertical="center" textRotation="90" wrapText="1"/>
    </xf>
    <xf numFmtId="0" fontId="50" fillId="6" borderId="18" xfId="0" applyFont="1" applyFill="1" applyBorder="1" applyAlignment="1">
      <alignment horizontal="center" vertical="center"/>
    </xf>
    <xf numFmtId="0" fontId="49" fillId="22" borderId="14" xfId="0" applyFont="1" applyFill="1" applyBorder="1" applyAlignment="1">
      <alignment horizontal="center" vertical="center" wrapText="1"/>
    </xf>
    <xf numFmtId="0" fontId="0" fillId="0" borderId="27" xfId="0" applyBorder="1"/>
    <xf numFmtId="171" fontId="47" fillId="22" borderId="14" xfId="0" applyNumberFormat="1" applyFont="1" applyFill="1" applyBorder="1" applyAlignment="1">
      <alignment horizontal="center" vertical="center"/>
    </xf>
    <xf numFmtId="171" fontId="47" fillId="22" borderId="27" xfId="0" applyNumberFormat="1" applyFont="1" applyFill="1" applyBorder="1" applyAlignment="1">
      <alignment horizontal="center" vertical="center"/>
    </xf>
    <xf numFmtId="0" fontId="57" fillId="8" borderId="28" xfId="0" applyFont="1" applyFill="1" applyBorder="1" applyAlignment="1">
      <alignment horizontal="center" vertical="center"/>
    </xf>
    <xf numFmtId="0" fontId="57" fillId="8" borderId="21" xfId="0" applyFont="1" applyFill="1" applyBorder="1" applyAlignment="1">
      <alignment horizontal="center" vertical="center"/>
    </xf>
    <xf numFmtId="168" fontId="47" fillId="22" borderId="14" xfId="0" applyNumberFormat="1" applyFont="1" applyFill="1" applyBorder="1" applyAlignment="1">
      <alignment horizontal="center" vertical="center"/>
    </xf>
    <xf numFmtId="168" fontId="47" fillId="22" borderId="27" xfId="0" applyNumberFormat="1" applyFont="1" applyFill="1" applyBorder="1" applyAlignment="1">
      <alignment horizontal="center" vertical="center"/>
    </xf>
    <xf numFmtId="171" fontId="36" fillId="22" borderId="14" xfId="0" applyNumberFormat="1" applyFont="1" applyFill="1" applyBorder="1" applyAlignment="1">
      <alignment horizontal="center" vertical="center"/>
    </xf>
    <xf numFmtId="171" fontId="36" fillId="22" borderId="27" xfId="0" applyNumberFormat="1" applyFont="1" applyFill="1" applyBorder="1" applyAlignment="1">
      <alignment horizontal="center" vertical="center"/>
    </xf>
    <xf numFmtId="0" fontId="47" fillId="17" borderId="13" xfId="0" applyFont="1" applyFill="1" applyBorder="1" applyAlignment="1">
      <alignment horizontal="center" vertical="center"/>
    </xf>
    <xf numFmtId="0" fontId="36" fillId="24" borderId="29" xfId="0" applyFont="1" applyFill="1" applyBorder="1" applyAlignment="1">
      <alignment horizontal="center" vertical="center" wrapText="1"/>
    </xf>
    <xf numFmtId="0" fontId="36" fillId="24" borderId="38" xfId="0" applyFont="1" applyFill="1" applyBorder="1" applyAlignment="1">
      <alignment horizontal="center" vertical="center" wrapText="1"/>
    </xf>
    <xf numFmtId="0" fontId="36" fillId="24" borderId="35" xfId="0" applyFont="1" applyFill="1" applyBorder="1" applyAlignment="1">
      <alignment horizontal="center" vertical="center" wrapText="1"/>
    </xf>
    <xf numFmtId="0" fontId="49" fillId="20" borderId="47" xfId="0" applyFont="1" applyFill="1" applyBorder="1" applyAlignment="1">
      <alignment horizontal="center" vertical="center"/>
    </xf>
    <xf numFmtId="0" fontId="49" fillId="20" borderId="48" xfId="0" applyFont="1" applyFill="1" applyBorder="1" applyAlignment="1">
      <alignment horizontal="center" vertical="center"/>
    </xf>
    <xf numFmtId="0" fontId="46" fillId="18" borderId="27" xfId="0" applyFont="1" applyFill="1" applyBorder="1" applyAlignment="1">
      <alignment horizontal="center" vertical="center" textRotation="90" wrapText="1"/>
    </xf>
    <xf numFmtId="0" fontId="38" fillId="9" borderId="16" xfId="0" applyFont="1" applyFill="1" applyBorder="1" applyAlignment="1">
      <alignment horizontal="center" vertical="center"/>
    </xf>
    <xf numFmtId="0" fontId="38" fillId="9" borderId="18" xfId="0" applyFont="1" applyFill="1" applyBorder="1" applyAlignment="1">
      <alignment horizontal="center" vertical="center"/>
    </xf>
    <xf numFmtId="0" fontId="40" fillId="19" borderId="16" xfId="0" applyFont="1" applyFill="1" applyBorder="1" applyAlignment="1">
      <alignment horizontal="center" vertical="center"/>
    </xf>
    <xf numFmtId="0" fontId="40" fillId="19" borderId="18" xfId="0" applyFont="1" applyFill="1" applyBorder="1" applyAlignment="1">
      <alignment horizontal="center" vertical="center"/>
    </xf>
    <xf numFmtId="0" fontId="47" fillId="13" borderId="16" xfId="0" applyFont="1" applyFill="1" applyBorder="1" applyAlignment="1">
      <alignment horizontal="center" vertical="center"/>
    </xf>
    <xf numFmtId="0" fontId="47" fillId="13" borderId="18" xfId="0" applyFont="1" applyFill="1" applyBorder="1" applyAlignment="1">
      <alignment horizontal="center" vertical="center"/>
    </xf>
    <xf numFmtId="0" fontId="38" fillId="13" borderId="16" xfId="0" applyFont="1" applyFill="1" applyBorder="1" applyAlignment="1">
      <alignment horizontal="center" vertical="center"/>
    </xf>
    <xf numFmtId="0" fontId="38" fillId="13" borderId="18" xfId="0" applyFont="1" applyFill="1" applyBorder="1" applyAlignment="1">
      <alignment horizontal="center" vertical="center"/>
    </xf>
    <xf numFmtId="0" fontId="47" fillId="22" borderId="32" xfId="0" applyFont="1" applyFill="1" applyBorder="1" applyAlignment="1">
      <alignment horizontal="center" vertical="center" wrapText="1"/>
    </xf>
    <xf numFmtId="0" fontId="46" fillId="18" borderId="29" xfId="0" applyFont="1" applyFill="1" applyBorder="1" applyAlignment="1">
      <alignment horizontal="center" vertical="center" wrapText="1"/>
    </xf>
    <xf numFmtId="0" fontId="46" fillId="18" borderId="30" xfId="0" applyFont="1" applyFill="1" applyBorder="1" applyAlignment="1">
      <alignment horizontal="center" vertical="center" wrapText="1"/>
    </xf>
    <xf numFmtId="0" fontId="46" fillId="18" borderId="31" xfId="0" applyFont="1" applyFill="1" applyBorder="1" applyAlignment="1">
      <alignment horizontal="center" vertical="center" wrapText="1"/>
    </xf>
    <xf numFmtId="0" fontId="46" fillId="18" borderId="39" xfId="0" applyFont="1" applyFill="1" applyBorder="1" applyAlignment="1">
      <alignment horizontal="center" vertical="center" wrapText="1"/>
    </xf>
    <xf numFmtId="0" fontId="46" fillId="18" borderId="40" xfId="0" applyFont="1" applyFill="1" applyBorder="1" applyAlignment="1">
      <alignment horizontal="center" vertical="center" wrapText="1"/>
    </xf>
    <xf numFmtId="0" fontId="49" fillId="22" borderId="16" xfId="0" applyFont="1" applyFill="1" applyBorder="1" applyAlignment="1">
      <alignment horizontal="center" vertical="center"/>
    </xf>
    <xf numFmtId="0" fontId="49" fillId="22" borderId="18" xfId="0" applyFont="1" applyFill="1" applyBorder="1" applyAlignment="1">
      <alignment horizontal="center" vertical="center"/>
    </xf>
    <xf numFmtId="0" fontId="49" fillId="3" borderId="20" xfId="0" applyFont="1" applyFill="1" applyBorder="1" applyAlignment="1">
      <alignment horizontal="center" vertical="center" wrapText="1"/>
    </xf>
    <xf numFmtId="0" fontId="49" fillId="3" borderId="23" xfId="0" applyFont="1" applyFill="1" applyBorder="1" applyAlignment="1">
      <alignment horizontal="center" vertical="center" wrapText="1"/>
    </xf>
    <xf numFmtId="0" fontId="49" fillId="3" borderId="22" xfId="0" applyFont="1" applyFill="1" applyBorder="1" applyAlignment="1">
      <alignment horizontal="center" vertical="center" wrapText="1"/>
    </xf>
    <xf numFmtId="0" fontId="49" fillId="3" borderId="26" xfId="0" applyFont="1" applyFill="1" applyBorder="1" applyAlignment="1">
      <alignment horizontal="center" vertical="center" wrapText="1"/>
    </xf>
    <xf numFmtId="0" fontId="52" fillId="22" borderId="23" xfId="0" applyFont="1" applyFill="1" applyBorder="1" applyAlignment="1">
      <alignment horizontal="center" vertical="center" wrapText="1"/>
    </xf>
    <xf numFmtId="0" fontId="52" fillId="22" borderId="26" xfId="0" applyFont="1" applyFill="1" applyBorder="1" applyAlignment="1">
      <alignment horizontal="center" vertical="center" wrapText="1"/>
    </xf>
    <xf numFmtId="0" fontId="55" fillId="19" borderId="30" xfId="0" applyFont="1" applyFill="1" applyBorder="1" applyAlignment="1">
      <alignment horizontal="center" vertical="center"/>
    </xf>
    <xf numFmtId="0" fontId="55" fillId="19" borderId="31" xfId="0" applyFont="1" applyFill="1" applyBorder="1" applyAlignment="1">
      <alignment horizontal="center" vertical="center"/>
    </xf>
    <xf numFmtId="0" fontId="55" fillId="19" borderId="0" xfId="0" applyFont="1" applyFill="1" applyAlignment="1">
      <alignment horizontal="center" vertical="center"/>
    </xf>
    <xf numFmtId="0" fontId="55" fillId="19" borderId="39" xfId="0" applyFont="1" applyFill="1" applyBorder="1" applyAlignment="1">
      <alignment horizontal="center" vertical="center"/>
    </xf>
    <xf numFmtId="0" fontId="55" fillId="19" borderId="21" xfId="0" applyFont="1" applyFill="1" applyBorder="1" applyAlignment="1">
      <alignment horizontal="center" vertical="center"/>
    </xf>
    <xf numFmtId="0" fontId="55" fillId="19" borderId="40" xfId="0" applyFont="1" applyFill="1" applyBorder="1" applyAlignment="1">
      <alignment horizontal="center" vertical="center"/>
    </xf>
    <xf numFmtId="0" fontId="47" fillId="18" borderId="33" xfId="0" applyFont="1" applyFill="1" applyBorder="1" applyAlignment="1">
      <alignment horizontal="center" vertical="center" wrapText="1"/>
    </xf>
    <xf numFmtId="0" fontId="47" fillId="18" borderId="34" xfId="0" applyFont="1" applyFill="1" applyBorder="1" applyAlignment="1">
      <alignment horizontal="center" vertical="center" wrapText="1"/>
    </xf>
    <xf numFmtId="0" fontId="47" fillId="18" borderId="35" xfId="0" applyFont="1" applyFill="1" applyBorder="1" applyAlignment="1">
      <alignment horizontal="center" vertical="center" wrapText="1"/>
    </xf>
    <xf numFmtId="0" fontId="46" fillId="3" borderId="38" xfId="0" applyFont="1" applyFill="1" applyBorder="1" applyAlignment="1">
      <alignment horizontal="center" vertical="center" wrapText="1"/>
    </xf>
    <xf numFmtId="0" fontId="46" fillId="3" borderId="0" xfId="0" applyFont="1" applyFill="1" applyAlignment="1">
      <alignment horizontal="center" vertical="center" wrapText="1"/>
    </xf>
    <xf numFmtId="0" fontId="46" fillId="3" borderId="37" xfId="0" applyFont="1" applyFill="1" applyBorder="1" applyAlignment="1">
      <alignment horizontal="center" vertical="center" wrapText="1"/>
    </xf>
    <xf numFmtId="0" fontId="46" fillId="3" borderId="21" xfId="0" applyFont="1" applyFill="1" applyBorder="1" applyAlignment="1">
      <alignment horizontal="center" vertical="center" wrapText="1"/>
    </xf>
    <xf numFmtId="0" fontId="47" fillId="3" borderId="18" xfId="0" applyFont="1" applyFill="1" applyBorder="1" applyAlignment="1">
      <alignment horizontal="center" vertical="center"/>
    </xf>
    <xf numFmtId="0" fontId="47" fillId="3" borderId="13" xfId="0" applyFont="1" applyFill="1" applyBorder="1" applyAlignment="1">
      <alignment horizontal="center" vertical="center"/>
    </xf>
    <xf numFmtId="0" fontId="47" fillId="11" borderId="16" xfId="0" applyFont="1" applyFill="1" applyBorder="1" applyAlignment="1">
      <alignment horizontal="center" vertical="center"/>
    </xf>
    <xf numFmtId="0" fontId="47" fillId="11" borderId="17" xfId="0" applyFont="1" applyFill="1" applyBorder="1" applyAlignment="1">
      <alignment horizontal="center" vertical="center"/>
    </xf>
    <xf numFmtId="0" fontId="37" fillId="9" borderId="20" xfId="0" applyFont="1" applyFill="1" applyBorder="1" applyAlignment="1">
      <alignment horizontal="center" vertical="center" wrapText="1"/>
    </xf>
    <xf numFmtId="0" fontId="37" fillId="9" borderId="0" xfId="0" applyFont="1" applyFill="1" applyAlignment="1">
      <alignment horizontal="center" vertical="center" wrapText="1"/>
    </xf>
    <xf numFmtId="0" fontId="37" fillId="9" borderId="21" xfId="0" applyFont="1" applyFill="1" applyBorder="1" applyAlignment="1">
      <alignment horizontal="center" vertical="center" wrapText="1"/>
    </xf>
    <xf numFmtId="167" fontId="38" fillId="3" borderId="49" xfId="0" applyNumberFormat="1" applyFont="1" applyFill="1" applyBorder="1" applyAlignment="1">
      <alignment horizontal="center" vertical="center" textRotation="90" wrapText="1"/>
    </xf>
    <xf numFmtId="167" fontId="38" fillId="3" borderId="24" xfId="0" applyNumberFormat="1" applyFont="1" applyFill="1" applyBorder="1" applyAlignment="1">
      <alignment horizontal="center" vertical="center" textRotation="90" wrapText="1"/>
    </xf>
    <xf numFmtId="0" fontId="50" fillId="3" borderId="0" xfId="0" applyFont="1" applyFill="1" applyAlignment="1">
      <alignment horizontal="center" vertical="center" wrapText="1"/>
    </xf>
    <xf numFmtId="0" fontId="50" fillId="3" borderId="21" xfId="0" applyFont="1" applyFill="1" applyBorder="1" applyAlignment="1">
      <alignment horizontal="center" vertical="center" wrapText="1"/>
    </xf>
    <xf numFmtId="0" fontId="61" fillId="11" borderId="16" xfId="0" applyFont="1" applyFill="1" applyBorder="1" applyAlignment="1">
      <alignment horizontal="right" vertical="center"/>
    </xf>
    <xf numFmtId="0" fontId="61" fillId="11" borderId="17" xfId="0" applyFont="1" applyFill="1" applyBorder="1" applyAlignment="1">
      <alignment horizontal="right" vertical="center"/>
    </xf>
    <xf numFmtId="0" fontId="61" fillId="11" borderId="18" xfId="0" applyFont="1" applyFill="1" applyBorder="1" applyAlignment="1">
      <alignment horizontal="right" vertical="center"/>
    </xf>
    <xf numFmtId="0" fontId="52" fillId="11" borderId="16" xfId="0" applyFont="1" applyFill="1" applyBorder="1" applyAlignment="1">
      <alignment horizontal="right" vertical="center"/>
    </xf>
    <xf numFmtId="0" fontId="52" fillId="11" borderId="17" xfId="0" applyFont="1" applyFill="1" applyBorder="1" applyAlignment="1">
      <alignment horizontal="right" vertical="center"/>
    </xf>
    <xf numFmtId="0" fontId="52" fillId="11" borderId="18" xfId="0" applyFont="1" applyFill="1" applyBorder="1" applyAlignment="1">
      <alignment horizontal="right" vertical="center"/>
    </xf>
    <xf numFmtId="0" fontId="52" fillId="3" borderId="16" xfId="0" applyFont="1" applyFill="1" applyBorder="1" applyAlignment="1">
      <alignment horizontal="right" vertical="center"/>
    </xf>
    <xf numFmtId="0" fontId="52" fillId="3" borderId="17" xfId="0" applyFont="1" applyFill="1" applyBorder="1" applyAlignment="1">
      <alignment horizontal="right" vertical="center"/>
    </xf>
    <xf numFmtId="0" fontId="52" fillId="3" borderId="18" xfId="0" applyFont="1" applyFill="1" applyBorder="1" applyAlignment="1">
      <alignment horizontal="right" vertical="center"/>
    </xf>
    <xf numFmtId="0" fontId="56" fillId="23" borderId="24" xfId="0" applyFont="1" applyFill="1" applyBorder="1" applyAlignment="1" applyProtection="1">
      <alignment horizontal="center" vertical="center"/>
      <protection locked="0"/>
    </xf>
    <xf numFmtId="0" fontId="56" fillId="23" borderId="0" xfId="0" applyFont="1" applyFill="1" applyAlignment="1" applyProtection="1">
      <alignment horizontal="center" vertical="center"/>
      <protection locked="0"/>
    </xf>
    <xf numFmtId="0" fontId="56" fillId="23" borderId="25" xfId="0" applyFont="1" applyFill="1" applyBorder="1" applyAlignment="1" applyProtection="1">
      <alignment horizontal="center" vertical="center"/>
      <protection locked="0"/>
    </xf>
    <xf numFmtId="0" fontId="56" fillId="23" borderId="21" xfId="0" applyFont="1" applyFill="1" applyBorder="1" applyAlignment="1" applyProtection="1">
      <alignment horizontal="center" vertical="center"/>
      <protection locked="0"/>
    </xf>
    <xf numFmtId="0" fontId="49" fillId="0" borderId="13" xfId="0" applyFont="1" applyBorder="1" applyAlignment="1">
      <alignment horizontal="center" vertical="center"/>
    </xf>
    <xf numFmtId="0" fontId="52" fillId="6" borderId="13" xfId="0" applyFont="1" applyFill="1" applyBorder="1" applyAlignment="1" applyProtection="1">
      <alignment horizontal="center" vertical="center"/>
      <protection locked="0"/>
    </xf>
    <xf numFmtId="0" fontId="52" fillId="27" borderId="13" xfId="0" applyFont="1" applyFill="1" applyBorder="1" applyAlignment="1" applyProtection="1">
      <alignment horizontal="center" vertical="center"/>
      <protection locked="0"/>
    </xf>
    <xf numFmtId="0" fontId="0" fillId="33" borderId="13" xfId="0" applyFill="1" applyBorder="1" applyAlignment="1">
      <alignment horizontal="center" vertical="center" wrapText="1"/>
    </xf>
    <xf numFmtId="0" fontId="52" fillId="27" borderId="13" xfId="0" applyFont="1" applyFill="1" applyBorder="1" applyAlignment="1" applyProtection="1">
      <alignment horizontal="center" vertical="center" wrapText="1"/>
      <protection locked="0"/>
    </xf>
    <xf numFmtId="167" fontId="1" fillId="33" borderId="14" xfId="0" applyNumberFormat="1" applyFont="1" applyFill="1" applyBorder="1" applyAlignment="1">
      <alignment vertical="center"/>
    </xf>
    <xf numFmtId="167" fontId="1" fillId="33" borderId="27" xfId="0" applyNumberFormat="1" applyFont="1" applyFill="1" applyBorder="1" applyAlignment="1">
      <alignment vertical="center"/>
    </xf>
    <xf numFmtId="167" fontId="1" fillId="33" borderId="14" xfId="0" applyNumberFormat="1" applyFont="1" applyFill="1" applyBorder="1" applyAlignment="1">
      <alignment horizontal="center" vertical="center"/>
    </xf>
    <xf numFmtId="167" fontId="1" fillId="33" borderId="27" xfId="0" applyNumberFormat="1" applyFont="1" applyFill="1" applyBorder="1" applyAlignment="1">
      <alignment horizontal="center" vertical="center"/>
    </xf>
    <xf numFmtId="0" fontId="0" fillId="31" borderId="13" xfId="0" applyFill="1" applyBorder="1" applyAlignment="1">
      <alignment horizontal="center" vertical="top" wrapText="1"/>
    </xf>
    <xf numFmtId="0" fontId="0" fillId="31" borderId="14" xfId="0" applyFill="1" applyBorder="1" applyAlignment="1">
      <alignment horizontal="center" vertical="center"/>
    </xf>
    <xf numFmtId="0" fontId="0" fillId="31" borderId="27" xfId="0" applyFill="1" applyBorder="1" applyAlignment="1">
      <alignment horizontal="center" vertical="center"/>
    </xf>
    <xf numFmtId="0" fontId="47" fillId="18" borderId="19" xfId="0" applyFont="1" applyFill="1" applyBorder="1" applyAlignment="1" applyProtection="1">
      <alignment horizontal="center" vertical="center" wrapText="1"/>
      <protection locked="0"/>
    </xf>
    <xf numFmtId="0" fontId="47" fillId="18" borderId="20" xfId="0" applyFont="1" applyFill="1" applyBorder="1" applyAlignment="1" applyProtection="1">
      <alignment horizontal="center" vertical="center" wrapText="1"/>
      <protection locked="0"/>
    </xf>
    <xf numFmtId="0" fontId="47" fillId="18" borderId="23" xfId="0" applyFont="1" applyFill="1" applyBorder="1" applyAlignment="1" applyProtection="1">
      <alignment horizontal="center" vertical="center" wrapText="1"/>
      <protection locked="0"/>
    </xf>
    <xf numFmtId="0" fontId="47" fillId="18" borderId="25" xfId="0" applyFont="1" applyFill="1" applyBorder="1" applyAlignment="1" applyProtection="1">
      <alignment horizontal="center" vertical="center" wrapText="1"/>
      <protection locked="0"/>
    </xf>
    <xf numFmtId="0" fontId="47" fillId="18" borderId="21" xfId="0" applyFont="1" applyFill="1" applyBorder="1" applyAlignment="1" applyProtection="1">
      <alignment horizontal="center" vertical="center" wrapText="1"/>
      <protection locked="0"/>
    </xf>
    <xf numFmtId="0" fontId="47" fillId="18" borderId="26" xfId="0" applyFont="1" applyFill="1" applyBorder="1" applyAlignment="1" applyProtection="1">
      <alignment horizontal="center" vertical="center" wrapText="1"/>
      <protection locked="0"/>
    </xf>
    <xf numFmtId="167" fontId="54" fillId="27" borderId="14" xfId="0" applyNumberFormat="1" applyFont="1" applyFill="1" applyBorder="1" applyAlignment="1">
      <alignment vertical="center"/>
    </xf>
    <xf numFmtId="167" fontId="54" fillId="27" borderId="27" xfId="0" applyNumberFormat="1" applyFont="1" applyFill="1" applyBorder="1" applyAlignment="1">
      <alignment vertical="center"/>
    </xf>
    <xf numFmtId="167" fontId="1" fillId="31" borderId="14" xfId="0" applyNumberFormat="1" applyFont="1" applyFill="1" applyBorder="1" applyAlignment="1">
      <alignment horizontal="center" vertical="center" wrapText="1"/>
    </xf>
    <xf numFmtId="167" fontId="1" fillId="31" borderId="27" xfId="0" applyNumberFormat="1" applyFont="1" applyFill="1" applyBorder="1" applyAlignment="1">
      <alignment horizontal="center" vertical="center" wrapText="1"/>
    </xf>
    <xf numFmtId="0" fontId="49" fillId="0" borderId="13" xfId="0" applyFont="1" applyBorder="1" applyAlignment="1" applyProtection="1">
      <alignment horizontal="center" vertical="center" wrapText="1"/>
      <protection locked="0"/>
    </xf>
    <xf numFmtId="9" fontId="0" fillId="33" borderId="13" xfId="0" applyNumberFormat="1" applyFill="1" applyBorder="1" applyAlignment="1">
      <alignment horizontal="center" vertical="center" wrapText="1"/>
    </xf>
    <xf numFmtId="0" fontId="0" fillId="32" borderId="13" xfId="0" applyFill="1" applyBorder="1" applyAlignment="1">
      <alignment horizontal="center" vertical="center"/>
    </xf>
    <xf numFmtId="0" fontId="0" fillId="32" borderId="13" xfId="0" applyFill="1" applyBorder="1" applyAlignment="1">
      <alignment horizontal="center" vertical="center" wrapText="1"/>
    </xf>
    <xf numFmtId="0" fontId="50" fillId="22" borderId="13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0" borderId="13" xfId="0" applyFill="1" applyBorder="1" applyAlignment="1">
      <alignment horizontal="center" vertical="center"/>
    </xf>
    <xf numFmtId="167" fontId="1" fillId="32" borderId="14" xfId="0" applyNumberFormat="1" applyFont="1" applyFill="1" applyBorder="1" applyAlignment="1">
      <alignment horizontal="center" vertical="center"/>
    </xf>
    <xf numFmtId="167" fontId="1" fillId="32" borderId="27" xfId="0" applyNumberFormat="1" applyFont="1" applyFill="1" applyBorder="1" applyAlignment="1">
      <alignment horizontal="center" vertical="center"/>
    </xf>
    <xf numFmtId="167" fontId="1" fillId="31" borderId="14" xfId="0" applyNumberFormat="1" applyFont="1" applyFill="1" applyBorder="1" applyAlignment="1">
      <alignment horizontal="center" vertical="center"/>
    </xf>
    <xf numFmtId="167" fontId="1" fillId="31" borderId="27" xfId="0" applyNumberFormat="1" applyFont="1" applyFill="1" applyBorder="1" applyAlignment="1">
      <alignment horizontal="center" vertical="center"/>
    </xf>
    <xf numFmtId="167" fontId="54" fillId="27" borderId="14" xfId="0" applyNumberFormat="1" applyFont="1" applyFill="1" applyBorder="1" applyAlignment="1">
      <alignment horizontal="center" vertical="center"/>
    </xf>
    <xf numFmtId="167" fontId="54" fillId="27" borderId="27" xfId="0" applyNumberFormat="1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29" fillId="3" borderId="9" xfId="0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3">
    <cellStyle name="Köprü" xfId="1" builtinId="8"/>
    <cellStyle name="Normal" xfId="0" builtinId="0"/>
    <cellStyle name="Yüzde" xfId="2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</dxfs>
  <tableStyles count="0" defaultTableStyle="TableStyleMedium9" defaultPivotStyle="PivotStyleLight16"/>
  <colors>
    <mruColors>
      <color rgb="FF268919"/>
      <color rgb="FFFFFF00"/>
      <color rgb="FFFFFFCC"/>
      <color rgb="FFCCECFF"/>
      <color rgb="FF8CAF47"/>
      <color rgb="FFD48482"/>
      <color rgb="FF303C18"/>
      <color rgb="FF515151"/>
      <color rgb="FF686868"/>
      <color rgb="FF5C7D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ANA SAYFA'!A1"/><Relationship Id="rId2" Type="http://schemas.openxmlformats.org/officeDocument/2006/relationships/image" Target="../media/image1.png"/><Relationship Id="rId1" Type="http://schemas.openxmlformats.org/officeDocument/2006/relationships/hyperlink" Target="https://www.amasyadsyb.org/faaliyet/urunsatis#b07" TargetMode="External"/><Relationship Id="rId4" Type="http://schemas.openxmlformats.org/officeDocument/2006/relationships/hyperlink" Target="#'F&#304;YAT L&#304;STES&#304;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F&#304;YAT L&#304;STES&#304;'!A1"/><Relationship Id="rId1" Type="http://schemas.openxmlformats.org/officeDocument/2006/relationships/hyperlink" Target="#'ANA SAYFA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'F&#304;YAT L&#304;STES&#304;'!A1"/><Relationship Id="rId1" Type="http://schemas.openxmlformats.org/officeDocument/2006/relationships/hyperlink" Target="#'ANA SAYFA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svg"/><Relationship Id="rId3" Type="http://schemas.openxmlformats.org/officeDocument/2006/relationships/hyperlink" Target="#'Ana Sayfa'!A1"/><Relationship Id="rId7" Type="http://schemas.openxmlformats.org/officeDocument/2006/relationships/image" Target="../media/image5.svg"/><Relationship Id="rId12" Type="http://schemas.openxmlformats.org/officeDocument/2006/relationships/image" Target="../media/image10.png"/><Relationship Id="rId2" Type="http://schemas.openxmlformats.org/officeDocument/2006/relationships/image" Target="../media/image3.svg"/><Relationship Id="rId16" Type="http://schemas.openxmlformats.org/officeDocument/2006/relationships/image" Target="../media/image14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11" Type="http://schemas.openxmlformats.org/officeDocument/2006/relationships/image" Target="../media/image9.svg"/><Relationship Id="rId5" Type="http://schemas.openxmlformats.org/officeDocument/2006/relationships/hyperlink" Target="#'MAK&#304;NE PARKI F&#304;YAT L&#304;STES&#304;'!A4"/><Relationship Id="rId15" Type="http://schemas.openxmlformats.org/officeDocument/2006/relationships/image" Target="../media/image13.svg"/><Relationship Id="rId10" Type="http://schemas.openxmlformats.org/officeDocument/2006/relationships/image" Target="../media/image8.png"/><Relationship Id="rId4" Type="http://schemas.openxmlformats.org/officeDocument/2006/relationships/hyperlink" Target="#'BEZELYE MAL&#304;YET'!A1"/><Relationship Id="rId9" Type="http://schemas.openxmlformats.org/officeDocument/2006/relationships/image" Target="../media/image7.svg"/><Relationship Id="rId14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ANA SAYFA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MAK&#304;NE PARKI F&#304;YAT L&#304;STES&#304;'!A4"/><Relationship Id="rId13" Type="http://schemas.openxmlformats.org/officeDocument/2006/relationships/hyperlink" Target="#'F&#304;YAT L&#304;STES&#304;'!A1"/><Relationship Id="rId3" Type="http://schemas.openxmlformats.org/officeDocument/2006/relationships/hyperlink" Target="#'BEZ+TR&#304;T&#304;_YEN&#304; 1'!A1"/><Relationship Id="rId7" Type="http://schemas.openxmlformats.org/officeDocument/2006/relationships/hyperlink" Target="#'DESTEK-&#304;LET&#304;&#350;&#304;M'!A1"/><Relationship Id="rId12" Type="http://schemas.openxmlformats.org/officeDocument/2006/relationships/hyperlink" Target="#TOPLU!A1"/><Relationship Id="rId2" Type="http://schemas.openxmlformats.org/officeDocument/2006/relationships/image" Target="../media/image1.png"/><Relationship Id="rId1" Type="http://schemas.openxmlformats.org/officeDocument/2006/relationships/hyperlink" Target="https://www.amasyadsyb.org" TargetMode="External"/><Relationship Id="rId6" Type="http://schemas.openxmlformats.org/officeDocument/2006/relationships/hyperlink" Target="#'MISIR YEN&#304; 1'!A1"/><Relationship Id="rId11" Type="http://schemas.openxmlformats.org/officeDocument/2006/relationships/hyperlink" Target="#'ARPA YEN&#304; 1'!A1"/><Relationship Id="rId5" Type="http://schemas.openxmlformats.org/officeDocument/2006/relationships/hyperlink" Target="#'YONCA YEN&#304; 1'!A1"/><Relationship Id="rId10" Type="http://schemas.openxmlformats.org/officeDocument/2006/relationships/hyperlink" Target="#'BU&#286;DAY YEN&#304; 1'!A1"/><Relationship Id="rId4" Type="http://schemas.openxmlformats.org/officeDocument/2006/relationships/hyperlink" Target="#'M F&#304;&#286;+TR&#304; YEN&#304; l 1'!A1"/><Relationship Id="rId9" Type="http://schemas.openxmlformats.org/officeDocument/2006/relationships/hyperlink" Target="#'AY&#199;&#304;&#199;E&#286;&#304; YEN&#304; 1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F&#304;YAT L&#304;STES&#304;'!A1"/><Relationship Id="rId1" Type="http://schemas.openxmlformats.org/officeDocument/2006/relationships/hyperlink" Target="#'ANA SAYFA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F&#304;YAT L&#304;STES&#304;'!A1"/><Relationship Id="rId1" Type="http://schemas.openxmlformats.org/officeDocument/2006/relationships/hyperlink" Target="#'ANA SAYFA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F&#304;YAT L&#304;STES&#304;'!A1"/><Relationship Id="rId1" Type="http://schemas.openxmlformats.org/officeDocument/2006/relationships/hyperlink" Target="#'ANA SAYFA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F&#304;YAT L&#304;STES&#304;'!A1"/><Relationship Id="rId1" Type="http://schemas.openxmlformats.org/officeDocument/2006/relationships/hyperlink" Target="#'ANA SAYFA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F&#304;YAT L&#304;STES&#304;'!A1"/><Relationship Id="rId1" Type="http://schemas.openxmlformats.org/officeDocument/2006/relationships/hyperlink" Target="#'ANA SAYFA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F&#304;YAT L&#304;STES&#304;'!A1"/><Relationship Id="rId1" Type="http://schemas.openxmlformats.org/officeDocument/2006/relationships/hyperlink" Target="#'ANA SAYFA'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806824</xdr:colOff>
      <xdr:row>0</xdr:row>
      <xdr:rowOff>0</xdr:rowOff>
    </xdr:from>
    <xdr:ext cx="918882" cy="918486"/>
    <xdr:pic>
      <xdr:nvPicPr>
        <xdr:cNvPr id="5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7471" y="0"/>
          <a:ext cx="918882" cy="918486"/>
        </a:xfrm>
        <a:prstGeom prst="rect">
          <a:avLst/>
        </a:prstGeom>
      </xdr:spPr>
    </xdr:pic>
    <xdr:clientData/>
  </xdr:oneCellAnchor>
  <xdr:twoCellAnchor>
    <xdr:from>
      <xdr:col>4</xdr:col>
      <xdr:colOff>0</xdr:colOff>
      <xdr:row>0</xdr:row>
      <xdr:rowOff>0</xdr:rowOff>
    </xdr:from>
    <xdr:to>
      <xdr:col>4</xdr:col>
      <xdr:colOff>876300</xdr:colOff>
      <xdr:row>0</xdr:row>
      <xdr:rowOff>619125</xdr:rowOff>
    </xdr:to>
    <xdr:sp macro="" textlink="">
      <xdr:nvSpPr>
        <xdr:cNvPr id="4" name="Rectangle: Rounded Corner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875059" y="0"/>
          <a:ext cx="876300" cy="6191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ANA SAYFA</a:t>
          </a:r>
        </a:p>
      </xdr:txBody>
    </xdr:sp>
    <xdr:clientData/>
  </xdr:twoCellAnchor>
  <xdr:twoCellAnchor>
    <xdr:from>
      <xdr:col>2</xdr:col>
      <xdr:colOff>403412</xdr:colOff>
      <xdr:row>0</xdr:row>
      <xdr:rowOff>201706</xdr:rowOff>
    </xdr:from>
    <xdr:to>
      <xdr:col>3</xdr:col>
      <xdr:colOff>26894</xdr:colOff>
      <xdr:row>0</xdr:row>
      <xdr:rowOff>477931</xdr:rowOff>
    </xdr:to>
    <xdr:sp macro="" textlink="">
      <xdr:nvSpPr>
        <xdr:cNvPr id="7" name="Rectangle: Rounded Corners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941794" y="201706"/>
          <a:ext cx="1562100" cy="2762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FİYAT LİSTESİ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57149</xdr:rowOff>
    </xdr:from>
    <xdr:to>
      <xdr:col>1</xdr:col>
      <xdr:colOff>1676399</xdr:colOff>
      <xdr:row>49</xdr:row>
      <xdr:rowOff>200025</xdr:rowOff>
    </xdr:to>
    <xdr:sp macro="" textlink="">
      <xdr:nvSpPr>
        <xdr:cNvPr id="2" name="Dikdörtgen: Köşeleri Yuvarlatılmış 16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0" y="12563474"/>
          <a:ext cx="2933699" cy="1209676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>
            <a:buFont typeface="Arial" panose="020B0604020202020204" pitchFamily="34" charset="0"/>
            <a:buNone/>
          </a:pP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Kaynak:Üretici Emrah</a:t>
          </a:r>
          <a:r>
            <a:rPr lang="tr-TR" sz="16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Yıldırım</a:t>
          </a:r>
          <a:endParaRPr lang="tr-TR" sz="16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buFont typeface="Arial" panose="020B0604020202020204" pitchFamily="34" charset="0"/>
            <a:buNone/>
          </a:pP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Yolüstü</a:t>
          </a:r>
          <a:r>
            <a:rPr lang="tr-TR" sz="16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/ MERZİFON / AMASYA</a:t>
          </a:r>
        </a:p>
        <a:p>
          <a:pPr marL="0" indent="0" algn="l">
            <a:buFont typeface="Arial" panose="020B0604020202020204" pitchFamily="34" charset="0"/>
            <a:buNone/>
          </a:pP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16.09.2025 TARİHLİ FİYATA GÖRE HAZIRLANMIŞTIR.</a:t>
          </a:r>
          <a:r>
            <a:rPr lang="tr-TR" sz="1600" b="0">
              <a:effectLst/>
            </a:rPr>
            <a:t> </a:t>
          </a:r>
          <a:endParaRPr lang="tr-TR" sz="16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876300</xdr:colOff>
      <xdr:row>3</xdr:row>
      <xdr:rowOff>161925</xdr:rowOff>
    </xdr:to>
    <xdr:sp macro="" textlink="">
      <xdr:nvSpPr>
        <xdr:cNvPr id="3" name="Rectangle: Rounded Corners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6124575" y="333375"/>
          <a:ext cx="876300" cy="6191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ANA SAYFA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142875</xdr:colOff>
      <xdr:row>0</xdr:row>
      <xdr:rowOff>276225</xdr:rowOff>
    </xdr:to>
    <xdr:sp macro="" textlink="">
      <xdr:nvSpPr>
        <xdr:cNvPr id="4" name="Rectangle: Rounded Corners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0" y="0"/>
          <a:ext cx="1562100" cy="2762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FİYAT LİSTESİ</a:t>
          </a:r>
        </a:p>
      </xdr:txBody>
    </xdr:sp>
    <xdr:clientData/>
  </xdr:twoCellAnchor>
  <xdr:twoCellAnchor>
    <xdr:from>
      <xdr:col>8</xdr:col>
      <xdr:colOff>1057275</xdr:colOff>
      <xdr:row>0</xdr:row>
      <xdr:rowOff>0</xdr:rowOff>
    </xdr:from>
    <xdr:to>
      <xdr:col>10</xdr:col>
      <xdr:colOff>581025</xdr:colOff>
      <xdr:row>0</xdr:row>
      <xdr:rowOff>276225</xdr:rowOff>
    </xdr:to>
    <xdr:sp macro="" textlink="">
      <xdr:nvSpPr>
        <xdr:cNvPr id="5" name="Rectangle: Rounded Corners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10401300" y="0"/>
          <a:ext cx="1562100" cy="2762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FİYAT LİSTESİ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180974</xdr:colOff>
      <xdr:row>1</xdr:row>
      <xdr:rowOff>123825</xdr:rowOff>
    </xdr:from>
    <xdr:to>
      <xdr:col>8</xdr:col>
      <xdr:colOff>790574</xdr:colOff>
      <xdr:row>2</xdr:row>
      <xdr:rowOff>19050</xdr:rowOff>
    </xdr:to>
    <xdr:sp macro="" textlink="">
      <xdr:nvSpPr>
        <xdr:cNvPr id="2" name="Rectangle: Rounded Corners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677149" y="314325"/>
          <a:ext cx="1666875" cy="285750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ANA SAYFA</a:t>
          </a:r>
        </a:p>
      </xdr:txBody>
    </xdr:sp>
    <xdr:clientData/>
  </xdr:twoCellAnchor>
  <xdr:twoCellAnchor>
    <xdr:from>
      <xdr:col>1</xdr:col>
      <xdr:colOff>609600</xdr:colOff>
      <xdr:row>1</xdr:row>
      <xdr:rowOff>123825</xdr:rowOff>
    </xdr:from>
    <xdr:to>
      <xdr:col>2</xdr:col>
      <xdr:colOff>981075</xdr:colOff>
      <xdr:row>2</xdr:row>
      <xdr:rowOff>9525</xdr:rowOff>
    </xdr:to>
    <xdr:sp macro="" textlink="">
      <xdr:nvSpPr>
        <xdr:cNvPr id="3" name="Rectangle: Rounded Corners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800225" y="314325"/>
          <a:ext cx="1562100" cy="2762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FİYAT LİSTESİ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142877</xdr:rowOff>
    </xdr:from>
    <xdr:to>
      <xdr:col>0</xdr:col>
      <xdr:colOff>513172</xdr:colOff>
      <xdr:row>2</xdr:row>
      <xdr:rowOff>47626</xdr:rowOff>
    </xdr:to>
    <xdr:pic>
      <xdr:nvPicPr>
        <xdr:cNvPr id="2" name="Graphic 1" descr="Arrow Horizontal U tur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6" y="142877"/>
          <a:ext cx="351246" cy="428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183173</xdr:rowOff>
    </xdr:from>
    <xdr:to>
      <xdr:col>1</xdr:col>
      <xdr:colOff>1349619</xdr:colOff>
      <xdr:row>1</xdr:row>
      <xdr:rowOff>329711</xdr:rowOff>
    </xdr:to>
    <xdr:sp macro="" textlink="">
      <xdr:nvSpPr>
        <xdr:cNvPr id="3" name="Rectangl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0" y="183173"/>
          <a:ext cx="1883019" cy="337038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tr-TR" sz="1200" b="1">
              <a:solidFill>
                <a:schemeClr val="accent2">
                  <a:lumMod val="75000"/>
                </a:schemeClr>
              </a:solidFill>
            </a:rPr>
            <a:t>ANA SAYFAYA DÖN</a:t>
          </a:r>
        </a:p>
      </xdr:txBody>
    </xdr:sp>
    <xdr:clientData/>
  </xdr:twoCellAnchor>
  <xdr:twoCellAnchor editAs="oneCell">
    <xdr:from>
      <xdr:col>0</xdr:col>
      <xdr:colOff>36635</xdr:colOff>
      <xdr:row>0</xdr:row>
      <xdr:rowOff>123825</xdr:rowOff>
    </xdr:from>
    <xdr:to>
      <xdr:col>0</xdr:col>
      <xdr:colOff>488619</xdr:colOff>
      <xdr:row>2</xdr:row>
      <xdr:rowOff>49089</xdr:rowOff>
    </xdr:to>
    <xdr:pic>
      <xdr:nvPicPr>
        <xdr:cNvPr id="4" name="Graphic 3" descr="Arrow Horizontal U tur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6635" y="123825"/>
          <a:ext cx="451984" cy="44913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180975</xdr:rowOff>
    </xdr:from>
    <xdr:to>
      <xdr:col>1</xdr:col>
      <xdr:colOff>981075</xdr:colOff>
      <xdr:row>6</xdr:row>
      <xdr:rowOff>25644</xdr:rowOff>
    </xdr:to>
    <xdr:sp macro="" textlink="">
      <xdr:nvSpPr>
        <xdr:cNvPr id="5" name="Rectangl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0" y="904875"/>
          <a:ext cx="1514475" cy="473319"/>
        </a:xfrm>
        <a:prstGeom prst="rect">
          <a:avLst/>
        </a:prstGeom>
        <a:solidFill>
          <a:schemeClr val="accent3">
            <a:lumMod val="75000"/>
          </a:schemeClr>
        </a:solidFill>
        <a:ln w="9525">
          <a:solidFill>
            <a:srgbClr val="303C1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tr-TR" sz="1200" b="1">
              <a:solidFill>
                <a:srgbClr val="303C18"/>
              </a:solidFill>
            </a:rPr>
            <a:t>MAKİNE</a:t>
          </a:r>
          <a:r>
            <a:rPr lang="tr-TR" sz="1200" b="1" baseline="0">
              <a:solidFill>
                <a:srgbClr val="303C18"/>
              </a:solidFill>
            </a:rPr>
            <a:t> PARKI </a:t>
          </a:r>
        </a:p>
        <a:p>
          <a:pPr algn="r"/>
          <a:r>
            <a:rPr lang="tr-TR" sz="1200" b="1" baseline="0">
              <a:solidFill>
                <a:srgbClr val="303C18"/>
              </a:solidFill>
            </a:rPr>
            <a:t>FİYAT LİSTESİ</a:t>
          </a:r>
          <a:endParaRPr lang="tr-TR" sz="1200" b="1">
            <a:solidFill>
              <a:srgbClr val="303C18"/>
            </a:solidFill>
          </a:endParaRPr>
        </a:p>
      </xdr:txBody>
    </xdr:sp>
    <xdr:clientData/>
  </xdr:twoCellAnchor>
  <xdr:twoCellAnchor editAs="oneCell">
    <xdr:from>
      <xdr:col>0</xdr:col>
      <xdr:colOff>36635</xdr:colOff>
      <xdr:row>3</xdr:row>
      <xdr:rowOff>197828</xdr:rowOff>
    </xdr:from>
    <xdr:to>
      <xdr:col>0</xdr:col>
      <xdr:colOff>488619</xdr:colOff>
      <xdr:row>6</xdr:row>
      <xdr:rowOff>16852</xdr:rowOff>
    </xdr:to>
    <xdr:pic>
      <xdr:nvPicPr>
        <xdr:cNvPr id="6" name="Graphic 5" descr="Arrow Horizontal U tur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36635" y="921728"/>
          <a:ext cx="451984" cy="447674"/>
        </a:xfrm>
        <a:prstGeom prst="rect">
          <a:avLst/>
        </a:prstGeom>
      </xdr:spPr>
    </xdr:pic>
    <xdr:clientData/>
  </xdr:twoCellAnchor>
  <xdr:twoCellAnchor editAs="oneCell">
    <xdr:from>
      <xdr:col>3</xdr:col>
      <xdr:colOff>2131016</xdr:colOff>
      <xdr:row>6</xdr:row>
      <xdr:rowOff>159713</xdr:rowOff>
    </xdr:from>
    <xdr:to>
      <xdr:col>3</xdr:col>
      <xdr:colOff>2494600</xdr:colOff>
      <xdr:row>8</xdr:row>
      <xdr:rowOff>83002</xdr:rowOff>
    </xdr:to>
    <xdr:pic>
      <xdr:nvPicPr>
        <xdr:cNvPr id="10" name="Graphic 9" descr="Receiver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4788491" y="2093288"/>
          <a:ext cx="363584" cy="361439"/>
        </a:xfrm>
        <a:prstGeom prst="rect">
          <a:avLst/>
        </a:prstGeom>
      </xdr:spPr>
    </xdr:pic>
    <xdr:clientData/>
  </xdr:twoCellAnchor>
  <xdr:twoCellAnchor editAs="oneCell">
    <xdr:from>
      <xdr:col>3</xdr:col>
      <xdr:colOff>2096878</xdr:colOff>
      <xdr:row>4</xdr:row>
      <xdr:rowOff>57149</xdr:rowOff>
    </xdr:from>
    <xdr:to>
      <xdr:col>3</xdr:col>
      <xdr:colOff>2550858</xdr:colOff>
      <xdr:row>6</xdr:row>
      <xdr:rowOff>131913</xdr:rowOff>
    </xdr:to>
    <xdr:pic>
      <xdr:nvPicPr>
        <xdr:cNvPr id="18" name="Graphic 17" descr="Marker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4754353" y="1600199"/>
          <a:ext cx="453980" cy="465289"/>
        </a:xfrm>
        <a:prstGeom prst="rect">
          <a:avLst/>
        </a:prstGeom>
      </xdr:spPr>
    </xdr:pic>
    <xdr:clientData/>
  </xdr:twoCellAnchor>
  <xdr:twoCellAnchor editAs="oneCell">
    <xdr:from>
      <xdr:col>3</xdr:col>
      <xdr:colOff>2144057</xdr:colOff>
      <xdr:row>8</xdr:row>
      <xdr:rowOff>152400</xdr:rowOff>
    </xdr:from>
    <xdr:to>
      <xdr:col>3</xdr:col>
      <xdr:colOff>2504538</xdr:colOff>
      <xdr:row>10</xdr:row>
      <xdr:rowOff>94517</xdr:rowOff>
    </xdr:to>
    <xdr:pic>
      <xdr:nvPicPr>
        <xdr:cNvPr id="20" name="Graphic 19" descr="Envelope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4801532" y="2562225"/>
          <a:ext cx="360481" cy="361217"/>
        </a:xfrm>
        <a:prstGeom prst="rect">
          <a:avLst/>
        </a:prstGeom>
      </xdr:spPr>
    </xdr:pic>
    <xdr:clientData/>
  </xdr:twoCellAnchor>
  <xdr:twoCellAnchor editAs="oneCell">
    <xdr:from>
      <xdr:col>3</xdr:col>
      <xdr:colOff>2148099</xdr:colOff>
      <xdr:row>10</xdr:row>
      <xdr:rowOff>185949</xdr:rowOff>
    </xdr:from>
    <xdr:to>
      <xdr:col>3</xdr:col>
      <xdr:colOff>2494933</xdr:colOff>
      <xdr:row>12</xdr:row>
      <xdr:rowOff>94633</xdr:rowOff>
    </xdr:to>
    <xdr:pic>
      <xdr:nvPicPr>
        <xdr:cNvPr id="22" name="Graphic 21" descr="Earth globe Africa and Europe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4805574" y="3014874"/>
          <a:ext cx="346834" cy="346834"/>
        </a:xfrm>
        <a:prstGeom prst="rect">
          <a:avLst/>
        </a:prstGeom>
      </xdr:spPr>
    </xdr:pic>
    <xdr:clientData/>
  </xdr:twoCellAnchor>
  <xdr:twoCellAnchor editAs="oneCell">
    <xdr:from>
      <xdr:col>3</xdr:col>
      <xdr:colOff>2118360</xdr:colOff>
      <xdr:row>12</xdr:row>
      <xdr:rowOff>144780</xdr:rowOff>
    </xdr:from>
    <xdr:to>
      <xdr:col>3</xdr:col>
      <xdr:colOff>2565400</xdr:colOff>
      <xdr:row>14</xdr:row>
      <xdr:rowOff>114300</xdr:rowOff>
    </xdr:to>
    <xdr:pic>
      <xdr:nvPicPr>
        <xdr:cNvPr id="11" name="Resim 10" descr="Daire Siyah Instagram Logosu şeffaf PNG - StickPNG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" y="2766060"/>
          <a:ext cx="44704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114300</xdr:colOff>
      <xdr:row>2</xdr:row>
      <xdr:rowOff>142875</xdr:rowOff>
    </xdr:to>
    <xdr:sp macro="" textlink="">
      <xdr:nvSpPr>
        <xdr:cNvPr id="3" name="Rectangle: Rounded Corners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876300" cy="6191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ANA SAYFA</a:t>
          </a:r>
        </a:p>
      </xdr:txBody>
    </xdr:sp>
    <xdr:clientData/>
  </xdr:twoCellAnchor>
  <xdr:twoCellAnchor>
    <xdr:from>
      <xdr:col>9</xdr:col>
      <xdr:colOff>28575</xdr:colOff>
      <xdr:row>0</xdr:row>
      <xdr:rowOff>47625</xdr:rowOff>
    </xdr:from>
    <xdr:to>
      <xdr:col>10</xdr:col>
      <xdr:colOff>28575</xdr:colOff>
      <xdr:row>2</xdr:row>
      <xdr:rowOff>190500</xdr:rowOff>
    </xdr:to>
    <xdr:sp macro="" textlink="">
      <xdr:nvSpPr>
        <xdr:cNvPr id="4" name="Rectangle: Rounded Corners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772900" y="47625"/>
          <a:ext cx="876300" cy="6191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ANA SAYFA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385099</xdr:colOff>
      <xdr:row>0</xdr:row>
      <xdr:rowOff>114300</xdr:rowOff>
    </xdr:from>
    <xdr:to>
      <xdr:col>1</xdr:col>
      <xdr:colOff>604531</xdr:colOff>
      <xdr:row>4</xdr:row>
      <xdr:rowOff>57150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099" y="114300"/>
          <a:ext cx="829032" cy="828675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8</xdr:row>
      <xdr:rowOff>9526</xdr:rowOff>
    </xdr:from>
    <xdr:to>
      <xdr:col>2</xdr:col>
      <xdr:colOff>3048000</xdr:colOff>
      <xdr:row>8</xdr:row>
      <xdr:rowOff>333376</xdr:rowOff>
    </xdr:to>
    <xdr:sp macro="" textlink="">
      <xdr:nvSpPr>
        <xdr:cNvPr id="8" name="Rectangle: Rounded Corner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228725" y="1990726"/>
          <a:ext cx="3038475" cy="323850"/>
        </a:xfrm>
        <a:prstGeom prst="roundRect">
          <a:avLst/>
        </a:prstGeom>
        <a:solidFill>
          <a:srgbClr val="D48482"/>
        </a:solidFill>
        <a:ln w="952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2">
                  <a:lumMod val="50000"/>
                </a:schemeClr>
              </a:solidFill>
            </a:rPr>
            <a:t>BEZELYE +TRİTİKALE  ÜRETİM MALİYETİ</a:t>
          </a:r>
        </a:p>
      </xdr:txBody>
    </xdr:sp>
    <xdr:clientData/>
  </xdr:twoCellAnchor>
  <xdr:twoCellAnchor>
    <xdr:from>
      <xdr:col>2</xdr:col>
      <xdr:colOff>0</xdr:colOff>
      <xdr:row>9</xdr:row>
      <xdr:rowOff>95251</xdr:rowOff>
    </xdr:from>
    <xdr:to>
      <xdr:col>2</xdr:col>
      <xdr:colOff>3038475</xdr:colOff>
      <xdr:row>10</xdr:row>
      <xdr:rowOff>228601</xdr:rowOff>
    </xdr:to>
    <xdr:sp macro="" textlink="">
      <xdr:nvSpPr>
        <xdr:cNvPr id="9" name="Rectangle: Rounded Corners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219200" y="2314576"/>
          <a:ext cx="3038475" cy="32385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 w="9525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6">
                  <a:lumMod val="50000"/>
                </a:schemeClr>
              </a:solidFill>
            </a:rPr>
            <a:t>MACAR FİĞİ+TRİTİKALE ÜRETİM MALİYETİ</a:t>
          </a:r>
        </a:p>
      </xdr:txBody>
    </xdr:sp>
    <xdr:clientData/>
  </xdr:twoCellAnchor>
  <xdr:twoCellAnchor>
    <xdr:from>
      <xdr:col>2</xdr:col>
      <xdr:colOff>0</xdr:colOff>
      <xdr:row>10</xdr:row>
      <xdr:rowOff>323851</xdr:rowOff>
    </xdr:from>
    <xdr:to>
      <xdr:col>2</xdr:col>
      <xdr:colOff>3038475</xdr:colOff>
      <xdr:row>12</xdr:row>
      <xdr:rowOff>95251</xdr:rowOff>
    </xdr:to>
    <xdr:sp macro="" textlink="">
      <xdr:nvSpPr>
        <xdr:cNvPr id="10" name="Rectangle: Rounded Corners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219200" y="2733676"/>
          <a:ext cx="3038475" cy="323850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YONCA ÜRETİM</a:t>
          </a:r>
          <a:r>
            <a:rPr lang="tr-TR" sz="1200" b="1" baseline="0">
              <a:solidFill>
                <a:schemeClr val="accent4">
                  <a:lumMod val="50000"/>
                </a:schemeClr>
              </a:solidFill>
            </a:rPr>
            <a:t> </a:t>
          </a:r>
          <a:r>
            <a:rPr lang="tr-TR" sz="1200" b="1">
              <a:solidFill>
                <a:schemeClr val="accent4">
                  <a:lumMod val="50000"/>
                </a:schemeClr>
              </a:solidFill>
            </a:rPr>
            <a:t>MALİYETİ</a:t>
          </a:r>
        </a:p>
      </xdr:txBody>
    </xdr:sp>
    <xdr:clientData/>
  </xdr:twoCellAnchor>
  <xdr:twoCellAnchor>
    <xdr:from>
      <xdr:col>1</xdr:col>
      <xdr:colOff>571501</xdr:colOff>
      <xdr:row>12</xdr:row>
      <xdr:rowOff>219076</xdr:rowOff>
    </xdr:from>
    <xdr:to>
      <xdr:col>2</xdr:col>
      <xdr:colOff>3048000</xdr:colOff>
      <xdr:row>13</xdr:row>
      <xdr:rowOff>295275</xdr:rowOff>
    </xdr:to>
    <xdr:sp macro="" textlink="">
      <xdr:nvSpPr>
        <xdr:cNvPr id="11" name="Rectangle: Rounded Corners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181101" y="3181351"/>
          <a:ext cx="3086099" cy="323849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5">
                  <a:lumMod val="50000"/>
                </a:schemeClr>
              </a:solidFill>
            </a:rPr>
            <a:t>SİLAJLIK VE DANE MISIR ÜRETİM MALİYETİ</a:t>
          </a:r>
        </a:p>
      </xdr:txBody>
    </xdr:sp>
    <xdr:clientData/>
  </xdr:twoCellAnchor>
  <xdr:twoCellAnchor>
    <xdr:from>
      <xdr:col>2</xdr:col>
      <xdr:colOff>47625</xdr:colOff>
      <xdr:row>20</xdr:row>
      <xdr:rowOff>354196</xdr:rowOff>
    </xdr:from>
    <xdr:to>
      <xdr:col>3</xdr:col>
      <xdr:colOff>28575</xdr:colOff>
      <xdr:row>22</xdr:row>
      <xdr:rowOff>30344</xdr:rowOff>
    </xdr:to>
    <xdr:sp macro="" textlink="">
      <xdr:nvSpPr>
        <xdr:cNvPr id="12" name="Rectangle: Rounded Corners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266825" y="5564371"/>
          <a:ext cx="3038475" cy="333373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 w="9525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3">
                  <a:lumMod val="50000"/>
                </a:schemeClr>
              </a:solidFill>
            </a:rPr>
            <a:t>YARDIM</a:t>
          </a:r>
        </a:p>
      </xdr:txBody>
    </xdr:sp>
    <xdr:clientData/>
  </xdr:twoCellAnchor>
  <xdr:twoCellAnchor>
    <xdr:from>
      <xdr:col>2</xdr:col>
      <xdr:colOff>2543175</xdr:colOff>
      <xdr:row>25</xdr:row>
      <xdr:rowOff>85725</xdr:rowOff>
    </xdr:from>
    <xdr:to>
      <xdr:col>6</xdr:col>
      <xdr:colOff>85725</xdr:colOff>
      <xdr:row>28</xdr:row>
      <xdr:rowOff>57150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762375" y="6724650"/>
          <a:ext cx="1866900" cy="752475"/>
        </a:xfrm>
        <a:prstGeom prst="roundRect">
          <a:avLst/>
        </a:prstGeom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2">
                  <a:lumMod val="75000"/>
                </a:schemeClr>
              </a:solidFill>
            </a:rPr>
            <a:t>HAZIRLAYAN</a:t>
          </a:r>
        </a:p>
        <a:p>
          <a:pPr algn="ctr"/>
          <a:r>
            <a:rPr lang="tr-TR" sz="1100" b="1"/>
            <a:t>BİRLİK</a:t>
          </a:r>
          <a:r>
            <a:rPr lang="tr-TR" sz="1100" b="1" baseline="0"/>
            <a:t> ZİRAAT MÜHENDİSİ</a:t>
          </a:r>
        </a:p>
        <a:p>
          <a:pPr algn="ctr"/>
          <a:r>
            <a:rPr lang="tr-TR" sz="1400" b="1" baseline="0"/>
            <a:t>Ozan ŞAHİN</a:t>
          </a:r>
        </a:p>
        <a:p>
          <a:pPr algn="ctr"/>
          <a:endParaRPr lang="tr-TR" sz="1100"/>
        </a:p>
      </xdr:txBody>
    </xdr:sp>
    <xdr:clientData/>
  </xdr:twoCellAnchor>
  <xdr:twoCellAnchor>
    <xdr:from>
      <xdr:col>2</xdr:col>
      <xdr:colOff>19050</xdr:colOff>
      <xdr:row>19</xdr:row>
      <xdr:rowOff>105532</xdr:rowOff>
    </xdr:from>
    <xdr:to>
      <xdr:col>3</xdr:col>
      <xdr:colOff>0</xdr:colOff>
      <xdr:row>20</xdr:row>
      <xdr:rowOff>249833</xdr:rowOff>
    </xdr:to>
    <xdr:sp macro="" textlink="">
      <xdr:nvSpPr>
        <xdr:cNvPr id="14" name="Rectangle: Rounded Corners 1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238250" y="5125207"/>
          <a:ext cx="3038475" cy="334801"/>
        </a:xfrm>
        <a:prstGeom prst="roundRect">
          <a:avLst/>
        </a:prstGeom>
        <a:solidFill>
          <a:schemeClr val="accent3"/>
        </a:solidFill>
        <a:ln w="9525">
          <a:solidFill>
            <a:srgbClr val="303C1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rgbClr val="303C18"/>
              </a:solidFill>
            </a:rPr>
            <a:t>MAKİNE</a:t>
          </a:r>
          <a:r>
            <a:rPr lang="tr-TR" sz="1200" b="1" baseline="0">
              <a:solidFill>
                <a:srgbClr val="303C18"/>
              </a:solidFill>
            </a:rPr>
            <a:t> PARKI FİYAT LİSTESİ</a:t>
          </a:r>
          <a:endParaRPr lang="tr-TR" sz="1200" b="1">
            <a:solidFill>
              <a:srgbClr val="303C18"/>
            </a:solidFill>
          </a:endParaRP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3048000</xdr:colOff>
      <xdr:row>15</xdr:row>
      <xdr:rowOff>123824</xdr:rowOff>
    </xdr:to>
    <xdr:sp macro="" textlink="">
      <xdr:nvSpPr>
        <xdr:cNvPr id="3" name="Rectangle: Rounded Corners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19200" y="3562350"/>
          <a:ext cx="3048000" cy="323849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 w="9525"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5">
                  <a:lumMod val="50000"/>
                </a:schemeClr>
              </a:solidFill>
            </a:rPr>
            <a:t>DANE AYÇİÇEĞİ  ÜRETİM MALİYETİ</a:t>
          </a:r>
        </a:p>
      </xdr:txBody>
    </xdr:sp>
    <xdr:clientData/>
  </xdr:twoCellAnchor>
  <xdr:twoCellAnchor>
    <xdr:from>
      <xdr:col>2</xdr:col>
      <xdr:colOff>0</xdr:colOff>
      <xdr:row>15</xdr:row>
      <xdr:rowOff>209550</xdr:rowOff>
    </xdr:from>
    <xdr:to>
      <xdr:col>2</xdr:col>
      <xdr:colOff>3048000</xdr:colOff>
      <xdr:row>16</xdr:row>
      <xdr:rowOff>142874</xdr:rowOff>
    </xdr:to>
    <xdr:sp macro="" textlink="">
      <xdr:nvSpPr>
        <xdr:cNvPr id="4" name="Rectangle: Rounded Corners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19200" y="3971925"/>
          <a:ext cx="3048000" cy="323849"/>
        </a:xfrm>
        <a:prstGeom prst="roundRect">
          <a:avLst/>
        </a:prstGeom>
        <a:solidFill>
          <a:schemeClr val="accent6">
            <a:lumMod val="75000"/>
          </a:schemeClr>
        </a:solidFill>
        <a:ln w="9525"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0">
              <a:solidFill>
                <a:schemeClr val="accent5">
                  <a:lumMod val="50000"/>
                </a:schemeClr>
              </a:solidFill>
            </a:rPr>
            <a:t>SİLAJLIK VE DANE BUĞDAY  ÜRETİM MALİYETİ</a:t>
          </a:r>
        </a:p>
      </xdr:txBody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3048000</xdr:colOff>
      <xdr:row>18</xdr:row>
      <xdr:rowOff>76199</xdr:rowOff>
    </xdr:to>
    <xdr:sp macro="" textlink="">
      <xdr:nvSpPr>
        <xdr:cNvPr id="5" name="Rectangle: Rounded Corners 1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219200" y="4381500"/>
          <a:ext cx="3048000" cy="323849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 w="9525"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5">
                  <a:lumMod val="50000"/>
                </a:schemeClr>
              </a:solidFill>
            </a:rPr>
            <a:t>SİLAJLIK VE DANE ARPA ÜRETİM MALİYETİ</a:t>
          </a:r>
        </a:p>
      </xdr:txBody>
    </xdr:sp>
    <xdr:clientData/>
  </xdr:twoCellAnchor>
  <xdr:twoCellAnchor>
    <xdr:from>
      <xdr:col>6</xdr:col>
      <xdr:colOff>180976</xdr:colOff>
      <xdr:row>5</xdr:row>
      <xdr:rowOff>209550</xdr:rowOff>
    </xdr:from>
    <xdr:to>
      <xdr:col>13</xdr:col>
      <xdr:colOff>228601</xdr:colOff>
      <xdr:row>18</xdr:row>
      <xdr:rowOff>285750</xdr:rowOff>
    </xdr:to>
    <xdr:sp macro="" textlink="">
      <xdr:nvSpPr>
        <xdr:cNvPr id="7" name="Dikdörtgen: Köşeleri Yuvarlatılmış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5724526" y="1285875"/>
          <a:ext cx="6076950" cy="362902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>
            <a:buFont typeface="Arial" panose="020B0604020202020204" pitchFamily="34" charset="0"/>
            <a:buNone/>
          </a:pPr>
          <a:r>
            <a:rPr lang="tr-TR" sz="18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Sayfalarda yer alan kırmızı ile</a:t>
          </a:r>
          <a:r>
            <a:rPr lang="tr-TR" sz="18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yazılı olan tüm alanlar güncellenebilir durumdadır.</a:t>
          </a:r>
        </a:p>
        <a:p>
          <a:pPr marL="0" indent="0" algn="l">
            <a:buFont typeface="Arial" panose="020B0604020202020204" pitchFamily="34" charset="0"/>
            <a:buNone/>
          </a:pPr>
          <a:endParaRPr lang="tr-TR" sz="1800" b="0" i="0" u="none" strike="noStrike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buFont typeface="Arial" panose="020B0604020202020204" pitchFamily="34" charset="0"/>
            <a:buNone/>
          </a:pPr>
          <a:r>
            <a:rPr lang="tr-TR" sz="18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Makineler, ürünler ve işler ile ilgili fiyatları "FİYAT LİSTESİ" sayfasından değiştirebilirsiniz.</a:t>
          </a:r>
        </a:p>
        <a:p>
          <a:pPr marL="0" indent="0" algn="l">
            <a:buFont typeface="Arial" panose="020B0604020202020204" pitchFamily="34" charset="0"/>
            <a:buNone/>
          </a:pPr>
          <a:endParaRPr lang="tr-TR" sz="1800" b="0" i="0" u="none" strike="noStrike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buFont typeface="Arial" panose="020B0604020202020204" pitchFamily="34" charset="0"/>
            <a:buNone/>
          </a:pPr>
          <a:r>
            <a:rPr lang="tr-TR" sz="18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"VERİM , FİYAT  VE DÖNÜŞÜM ORANLARINI  İLGİLİ SAYFALARDA DEĞİŞTİREBİLİRSİNİZ. </a:t>
          </a:r>
        </a:p>
        <a:p>
          <a:pPr marL="0" indent="0" algn="l">
            <a:buFont typeface="Arial" panose="020B0604020202020204" pitchFamily="34" charset="0"/>
            <a:buNone/>
          </a:pPr>
          <a:r>
            <a:rPr lang="tr-TR" sz="18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SONUÇLARI BİR ARADA GÖRMEK İÇİN "TOPLU SONUÇLAR SAYFASINA GİDİNİZ</a:t>
          </a:r>
        </a:p>
        <a:p>
          <a:pPr marL="0" indent="0" algn="l">
            <a:buFont typeface="Arial" panose="020B0604020202020204" pitchFamily="34" charset="0"/>
            <a:buNone/>
          </a:pPr>
          <a:r>
            <a:rPr lang="tr-TR" sz="18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2</xdr:col>
      <xdr:colOff>447675</xdr:colOff>
      <xdr:row>18</xdr:row>
      <xdr:rowOff>104775</xdr:rowOff>
    </xdr:from>
    <xdr:to>
      <xdr:col>2</xdr:col>
      <xdr:colOff>2419351</xdr:colOff>
      <xdr:row>19</xdr:row>
      <xdr:rowOff>47623</xdr:rowOff>
    </xdr:to>
    <xdr:sp macro="" textlink="">
      <xdr:nvSpPr>
        <xdr:cNvPr id="15" name="Rectangle: Rounded Corners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1666875" y="4733925"/>
          <a:ext cx="1971676" cy="333373"/>
        </a:xfrm>
        <a:prstGeom prst="roundRect">
          <a:avLst/>
        </a:prstGeom>
        <a:solidFill>
          <a:schemeClr val="bg1">
            <a:lumMod val="95000"/>
          </a:schemeClr>
        </a:solidFill>
        <a:ln w="254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600" b="1">
              <a:solidFill>
                <a:schemeClr val="accent3">
                  <a:lumMod val="50000"/>
                </a:schemeClr>
              </a:solidFill>
            </a:rPr>
            <a:t>TOPLU</a:t>
          </a:r>
          <a:r>
            <a:rPr lang="tr-TR" sz="1600" b="1" baseline="0">
              <a:solidFill>
                <a:schemeClr val="accent3">
                  <a:lumMod val="50000"/>
                </a:schemeClr>
              </a:solidFill>
            </a:rPr>
            <a:t> SONUÇLAR</a:t>
          </a:r>
          <a:endParaRPr lang="tr-TR" sz="1600" b="1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3</xdr:col>
      <xdr:colOff>219075</xdr:colOff>
      <xdr:row>13</xdr:row>
      <xdr:rowOff>123825</xdr:rowOff>
    </xdr:from>
    <xdr:to>
      <xdr:col>4</xdr:col>
      <xdr:colOff>571501</xdr:colOff>
      <xdr:row>17</xdr:row>
      <xdr:rowOff>161926</xdr:rowOff>
    </xdr:to>
    <xdr:sp macro="" textlink="">
      <xdr:nvSpPr>
        <xdr:cNvPr id="16" name="Rectangle: Rounded Corners 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4495800" y="3333750"/>
          <a:ext cx="962026" cy="1209676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TOHUM, GÜBRE, EKİM VB FİYAT LİSTESİ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57149</xdr:rowOff>
    </xdr:from>
    <xdr:to>
      <xdr:col>1</xdr:col>
      <xdr:colOff>1676399</xdr:colOff>
      <xdr:row>47</xdr:row>
      <xdr:rowOff>200025</xdr:rowOff>
    </xdr:to>
    <xdr:sp macro="" textlink="">
      <xdr:nvSpPr>
        <xdr:cNvPr id="2" name="Dikdörtgen: Köşeleri Yuvarlatılmış 1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11839574"/>
          <a:ext cx="2876549" cy="1209676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>
            <a:buFont typeface="Arial" panose="020B0604020202020204" pitchFamily="34" charset="0"/>
            <a:buNone/>
          </a:pP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Kaynak:Üretici Emrah</a:t>
          </a:r>
          <a:r>
            <a:rPr lang="tr-TR" sz="16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Yıldırım</a:t>
          </a:r>
          <a:endParaRPr lang="tr-TR" sz="16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buFont typeface="Arial" panose="020B0604020202020204" pitchFamily="34" charset="0"/>
            <a:buNone/>
          </a:pP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Yolüstü</a:t>
          </a:r>
          <a:r>
            <a:rPr lang="tr-TR" sz="16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/ MERZİFON / AMASYA</a:t>
          </a:r>
        </a:p>
        <a:p>
          <a:pPr marL="0" indent="0" algn="l">
            <a:buFont typeface="Arial" panose="020B0604020202020204" pitchFamily="34" charset="0"/>
            <a:buNone/>
          </a:pP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16.09.2025 TARİHLİ FİYATA GÖRE HAZIRLANMIŞTIR.</a:t>
          </a:r>
          <a:r>
            <a:rPr lang="tr-TR" sz="1600" b="0">
              <a:effectLst/>
            </a:rPr>
            <a:t> </a:t>
          </a:r>
          <a:endParaRPr lang="tr-TR" sz="16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828675</xdr:colOff>
      <xdr:row>0</xdr:row>
      <xdr:rowOff>19050</xdr:rowOff>
    </xdr:from>
    <xdr:to>
      <xdr:col>10</xdr:col>
      <xdr:colOff>819150</xdr:colOff>
      <xdr:row>2</xdr:row>
      <xdr:rowOff>38100</xdr:rowOff>
    </xdr:to>
    <xdr:sp macro="" textlink="">
      <xdr:nvSpPr>
        <xdr:cNvPr id="3" name="Rectangle: Rounded Corners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1363325" y="19050"/>
          <a:ext cx="876300" cy="6191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ANA SAYFA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200025</xdr:colOff>
      <xdr:row>0</xdr:row>
      <xdr:rowOff>276225</xdr:rowOff>
    </xdr:to>
    <xdr:sp macro="" textlink="">
      <xdr:nvSpPr>
        <xdr:cNvPr id="4" name="Rectangle: Rounded Corners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0" y="0"/>
          <a:ext cx="1562100" cy="2762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FİYAT LİSTESİ</a:t>
          </a:r>
        </a:p>
      </xdr:txBody>
    </xdr:sp>
    <xdr:clientData/>
  </xdr:twoCellAnchor>
  <xdr:twoCellAnchor>
    <xdr:from>
      <xdr:col>7</xdr:col>
      <xdr:colOff>876300</xdr:colOff>
      <xdr:row>0</xdr:row>
      <xdr:rowOff>0</xdr:rowOff>
    </xdr:from>
    <xdr:to>
      <xdr:col>9</xdr:col>
      <xdr:colOff>285750</xdr:colOff>
      <xdr:row>0</xdr:row>
      <xdr:rowOff>276225</xdr:rowOff>
    </xdr:to>
    <xdr:sp macro="" textlink="">
      <xdr:nvSpPr>
        <xdr:cNvPr id="5" name="Rectangle: Rounded Corners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9258300" y="0"/>
          <a:ext cx="1562100" cy="2762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FİYAT LİSTESİ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57149</xdr:rowOff>
    </xdr:from>
    <xdr:to>
      <xdr:col>1</xdr:col>
      <xdr:colOff>1676399</xdr:colOff>
      <xdr:row>48</xdr:row>
      <xdr:rowOff>200025</xdr:rowOff>
    </xdr:to>
    <xdr:sp macro="" textlink="">
      <xdr:nvSpPr>
        <xdr:cNvPr id="2" name="Dikdörtgen: Köşeleri Yuvarlatılmış 1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12725399"/>
          <a:ext cx="2876549" cy="1209676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>
            <a:buFont typeface="Arial" panose="020B0604020202020204" pitchFamily="34" charset="0"/>
            <a:buNone/>
          </a:pP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Kaynak:Üretici Emrah</a:t>
          </a:r>
          <a:r>
            <a:rPr lang="tr-TR" sz="16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Yıldırım</a:t>
          </a:r>
          <a:endParaRPr lang="tr-TR" sz="16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buFont typeface="Arial" panose="020B0604020202020204" pitchFamily="34" charset="0"/>
            <a:buNone/>
          </a:pP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Yolüstü</a:t>
          </a:r>
          <a:r>
            <a:rPr lang="tr-TR" sz="16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/ MERZİFON / AMASYA</a:t>
          </a:r>
        </a:p>
        <a:p>
          <a:pPr marL="0" indent="0" algn="l">
            <a:buFont typeface="Arial" panose="020B0604020202020204" pitchFamily="34" charset="0"/>
            <a:buNone/>
          </a:pP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16.09.2025 TARİHLİ FİYATA GÖRE HAZIRLANMIŞTIR.</a:t>
          </a:r>
          <a:r>
            <a:rPr lang="tr-TR" sz="1600" b="0">
              <a:effectLst/>
            </a:rPr>
            <a:t> </a:t>
          </a:r>
          <a:endParaRPr lang="tr-TR" sz="16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19050</xdr:colOff>
      <xdr:row>1</xdr:row>
      <xdr:rowOff>9525</xdr:rowOff>
    </xdr:from>
    <xdr:to>
      <xdr:col>5</xdr:col>
      <xdr:colOff>895350</xdr:colOff>
      <xdr:row>3</xdr:row>
      <xdr:rowOff>28575</xdr:rowOff>
    </xdr:to>
    <xdr:sp macro="" textlink="">
      <xdr:nvSpPr>
        <xdr:cNvPr id="3" name="Rectangle: Rounded Corners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267450" y="342900"/>
          <a:ext cx="876300" cy="6191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ANA SAYFA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200025</xdr:colOff>
      <xdr:row>0</xdr:row>
      <xdr:rowOff>276225</xdr:rowOff>
    </xdr:to>
    <xdr:sp macro="" textlink="">
      <xdr:nvSpPr>
        <xdr:cNvPr id="4" name="Rectangle: Rounded Corners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0" y="0"/>
          <a:ext cx="1562100" cy="2762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FİYAT LİSTESİ</a:t>
          </a:r>
        </a:p>
      </xdr:txBody>
    </xdr:sp>
    <xdr:clientData/>
  </xdr:twoCellAnchor>
  <xdr:twoCellAnchor>
    <xdr:from>
      <xdr:col>8</xdr:col>
      <xdr:colOff>219075</xdr:colOff>
      <xdr:row>0</xdr:row>
      <xdr:rowOff>28575</xdr:rowOff>
    </xdr:from>
    <xdr:to>
      <xdr:col>9</xdr:col>
      <xdr:colOff>628650</xdr:colOff>
      <xdr:row>0</xdr:row>
      <xdr:rowOff>304800</xdr:rowOff>
    </xdr:to>
    <xdr:sp macro="" textlink="">
      <xdr:nvSpPr>
        <xdr:cNvPr id="5" name="Rectangle: Rounded Corners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9686925" y="28575"/>
          <a:ext cx="1562100" cy="2762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FİYAT LİSTESİ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57149</xdr:rowOff>
    </xdr:from>
    <xdr:to>
      <xdr:col>1</xdr:col>
      <xdr:colOff>1676399</xdr:colOff>
      <xdr:row>49</xdr:row>
      <xdr:rowOff>200025</xdr:rowOff>
    </xdr:to>
    <xdr:sp macro="" textlink="">
      <xdr:nvSpPr>
        <xdr:cNvPr id="2" name="Dikdörtgen: Köşeleri Yuvarlatılmış 1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0" y="12725399"/>
          <a:ext cx="2876549" cy="1209676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>
            <a:buFont typeface="Arial" panose="020B0604020202020204" pitchFamily="34" charset="0"/>
            <a:buNone/>
          </a:pP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Kaynak:Üretici Emrah</a:t>
          </a:r>
          <a:r>
            <a:rPr lang="tr-TR" sz="16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Yıldırım</a:t>
          </a:r>
          <a:endParaRPr lang="tr-TR" sz="16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buFont typeface="Arial" panose="020B0604020202020204" pitchFamily="34" charset="0"/>
            <a:buNone/>
          </a:pP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Yolüstü</a:t>
          </a:r>
          <a:r>
            <a:rPr lang="tr-TR" sz="16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/ MERZİFON / AMASYA</a:t>
          </a:r>
        </a:p>
        <a:p>
          <a:pPr marL="0" indent="0" algn="l">
            <a:buFont typeface="Arial" panose="020B0604020202020204" pitchFamily="34" charset="0"/>
            <a:buNone/>
          </a:pP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16.09.2025 TARİHLİ FİYATA GÖRE HAZIRLANMIŞTIR.</a:t>
          </a:r>
          <a:r>
            <a:rPr lang="tr-TR" sz="1600" b="0">
              <a:effectLst/>
            </a:rPr>
            <a:t> </a:t>
          </a:r>
          <a:endParaRPr lang="tr-TR" sz="16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19050</xdr:colOff>
      <xdr:row>0</xdr:row>
      <xdr:rowOff>0</xdr:rowOff>
    </xdr:from>
    <xdr:to>
      <xdr:col>5</xdr:col>
      <xdr:colOff>895350</xdr:colOff>
      <xdr:row>2</xdr:row>
      <xdr:rowOff>19050</xdr:rowOff>
    </xdr:to>
    <xdr:sp macro="" textlink="">
      <xdr:nvSpPr>
        <xdr:cNvPr id="3" name="Rectangle: Rounded Corners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572250" y="0"/>
          <a:ext cx="876300" cy="6191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ANA SAYFA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19050</xdr:colOff>
      <xdr:row>0</xdr:row>
      <xdr:rowOff>276225</xdr:rowOff>
    </xdr:to>
    <xdr:sp macro="" textlink="">
      <xdr:nvSpPr>
        <xdr:cNvPr id="4" name="Rectangle: Rounded Corners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0" y="0"/>
          <a:ext cx="1562100" cy="2762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FİYAT LİSTESİ</a:t>
          </a:r>
        </a:p>
      </xdr:txBody>
    </xdr:sp>
    <xdr:clientData/>
  </xdr:twoCellAnchor>
  <xdr:twoCellAnchor>
    <xdr:from>
      <xdr:col>8</xdr:col>
      <xdr:colOff>1085850</xdr:colOff>
      <xdr:row>0</xdr:row>
      <xdr:rowOff>57150</xdr:rowOff>
    </xdr:from>
    <xdr:to>
      <xdr:col>10</xdr:col>
      <xdr:colOff>609600</xdr:colOff>
      <xdr:row>1</xdr:row>
      <xdr:rowOff>0</xdr:rowOff>
    </xdr:to>
    <xdr:sp macro="" textlink="">
      <xdr:nvSpPr>
        <xdr:cNvPr id="5" name="Rectangle: Rounded Corners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0858500" y="57150"/>
          <a:ext cx="1562100" cy="2762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FİYAT LİSTESİ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57149</xdr:rowOff>
    </xdr:from>
    <xdr:to>
      <xdr:col>1</xdr:col>
      <xdr:colOff>1676399</xdr:colOff>
      <xdr:row>49</xdr:row>
      <xdr:rowOff>200025</xdr:rowOff>
    </xdr:to>
    <xdr:sp macro="" textlink="">
      <xdr:nvSpPr>
        <xdr:cNvPr id="2" name="Dikdörtgen: Köşeleri Yuvarlatılmış 1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0" y="11839574"/>
          <a:ext cx="2876549" cy="1209676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>
            <a:buFont typeface="Arial" panose="020B0604020202020204" pitchFamily="34" charset="0"/>
            <a:buNone/>
          </a:pP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Kaynak:Üretici Emrah</a:t>
          </a:r>
          <a:r>
            <a:rPr lang="tr-TR" sz="16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Yıldırım</a:t>
          </a:r>
          <a:endParaRPr lang="tr-TR" sz="16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buFont typeface="Arial" panose="020B0604020202020204" pitchFamily="34" charset="0"/>
            <a:buNone/>
          </a:pP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Yolüstü</a:t>
          </a:r>
          <a:r>
            <a:rPr lang="tr-TR" sz="16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/ MERZİFON / AMASYA</a:t>
          </a:r>
        </a:p>
        <a:p>
          <a:pPr marL="0" indent="0" algn="l">
            <a:buFont typeface="Arial" panose="020B0604020202020204" pitchFamily="34" charset="0"/>
            <a:buNone/>
          </a:pP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16.09.2025 TARİHLİ FİYATA GÖRE HAZIRLANMIŞTIR.</a:t>
          </a:r>
          <a:r>
            <a:rPr lang="tr-TR" sz="1600" b="0">
              <a:effectLst/>
            </a:rPr>
            <a:t> </a:t>
          </a:r>
          <a:endParaRPr lang="tr-TR" sz="16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876300</xdr:colOff>
      <xdr:row>3</xdr:row>
      <xdr:rowOff>19050</xdr:rowOff>
    </xdr:to>
    <xdr:sp macro="" textlink="">
      <xdr:nvSpPr>
        <xdr:cNvPr id="3" name="Rectangle: Rounded Corners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067425" y="333375"/>
          <a:ext cx="876300" cy="6191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ANA SAYFA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200025</xdr:colOff>
      <xdr:row>0</xdr:row>
      <xdr:rowOff>276225</xdr:rowOff>
    </xdr:to>
    <xdr:sp macro="" textlink="">
      <xdr:nvSpPr>
        <xdr:cNvPr id="4" name="Rectangle: Rounded Corners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0" y="0"/>
          <a:ext cx="1562100" cy="2762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FİYAT LİSTESİ</a:t>
          </a:r>
        </a:p>
      </xdr:txBody>
    </xdr:sp>
    <xdr:clientData/>
  </xdr:twoCellAnchor>
  <xdr:twoCellAnchor>
    <xdr:from>
      <xdr:col>8</xdr:col>
      <xdr:colOff>971550</xdr:colOff>
      <xdr:row>0</xdr:row>
      <xdr:rowOff>47625</xdr:rowOff>
    </xdr:from>
    <xdr:to>
      <xdr:col>10</xdr:col>
      <xdr:colOff>495300</xdr:colOff>
      <xdr:row>0</xdr:row>
      <xdr:rowOff>323850</xdr:rowOff>
    </xdr:to>
    <xdr:sp macro="" textlink="">
      <xdr:nvSpPr>
        <xdr:cNvPr id="5" name="Rectangle: Rounded Corners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10258425" y="47625"/>
          <a:ext cx="1562100" cy="2762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FİYAT LİSTESİ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57149</xdr:rowOff>
    </xdr:from>
    <xdr:to>
      <xdr:col>1</xdr:col>
      <xdr:colOff>1676399</xdr:colOff>
      <xdr:row>45</xdr:row>
      <xdr:rowOff>200025</xdr:rowOff>
    </xdr:to>
    <xdr:sp macro="" textlink="">
      <xdr:nvSpPr>
        <xdr:cNvPr id="2" name="Dikdörtgen: Köşeleri Yuvarlatılmış 1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0" y="12439649"/>
          <a:ext cx="2876549" cy="1209676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>
            <a:buFont typeface="Arial" panose="020B0604020202020204" pitchFamily="34" charset="0"/>
            <a:buNone/>
          </a:pP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Kaynak:Üretici Emrah</a:t>
          </a:r>
          <a:r>
            <a:rPr lang="tr-TR" sz="16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Yıldırım</a:t>
          </a:r>
          <a:endParaRPr lang="tr-TR" sz="16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buFont typeface="Arial" panose="020B0604020202020204" pitchFamily="34" charset="0"/>
            <a:buNone/>
          </a:pP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Yolüstü</a:t>
          </a:r>
          <a:r>
            <a:rPr lang="tr-TR" sz="16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/ MERZİFON / AMASYA</a:t>
          </a:r>
        </a:p>
        <a:p>
          <a:pPr marL="0" indent="0" algn="l">
            <a:buFont typeface="Arial" panose="020B0604020202020204" pitchFamily="34" charset="0"/>
            <a:buNone/>
          </a:pP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16.09.2025 TARİHLİ FİYATA GÖRE HAZIRLANMIŞTIR.</a:t>
          </a:r>
          <a:r>
            <a:rPr lang="tr-TR" sz="1600" b="0">
              <a:effectLst/>
            </a:rPr>
            <a:t> </a:t>
          </a:r>
          <a:endParaRPr lang="tr-TR" sz="16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876300</xdr:colOff>
      <xdr:row>3</xdr:row>
      <xdr:rowOff>19050</xdr:rowOff>
    </xdr:to>
    <xdr:sp macro="" textlink="">
      <xdr:nvSpPr>
        <xdr:cNvPr id="3" name="Rectangle: Rounded Corners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267450" y="333375"/>
          <a:ext cx="876300" cy="6191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ANA SAYFA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276225</xdr:rowOff>
    </xdr:to>
    <xdr:sp macro="" textlink="">
      <xdr:nvSpPr>
        <xdr:cNvPr id="4" name="Rectangle: Rounded Corners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0" y="0"/>
          <a:ext cx="1562100" cy="2762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FİYAT LİSTESİ</a:t>
          </a:r>
        </a:p>
      </xdr:txBody>
    </xdr:sp>
    <xdr:clientData/>
  </xdr:twoCellAnchor>
  <xdr:twoCellAnchor>
    <xdr:from>
      <xdr:col>8</xdr:col>
      <xdr:colOff>809625</xdr:colOff>
      <xdr:row>0</xdr:row>
      <xdr:rowOff>47625</xdr:rowOff>
    </xdr:from>
    <xdr:to>
      <xdr:col>10</xdr:col>
      <xdr:colOff>333375</xdr:colOff>
      <xdr:row>0</xdr:row>
      <xdr:rowOff>323850</xdr:rowOff>
    </xdr:to>
    <xdr:sp macro="" textlink="">
      <xdr:nvSpPr>
        <xdr:cNvPr id="5" name="Rectangle: Rounded Corners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10296525" y="47625"/>
          <a:ext cx="1562100" cy="2762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FİYAT LİSTESİ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57149</xdr:rowOff>
    </xdr:from>
    <xdr:to>
      <xdr:col>1</xdr:col>
      <xdr:colOff>1676399</xdr:colOff>
      <xdr:row>49</xdr:row>
      <xdr:rowOff>200025</xdr:rowOff>
    </xdr:to>
    <xdr:sp macro="" textlink="">
      <xdr:nvSpPr>
        <xdr:cNvPr id="2" name="Dikdörtgen: Köşeleri Yuvarlatılmış 16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0" y="12439649"/>
          <a:ext cx="2876549" cy="1209676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>
            <a:buFont typeface="Arial" panose="020B0604020202020204" pitchFamily="34" charset="0"/>
            <a:buNone/>
          </a:pP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Kaynak:Üretici Emrah</a:t>
          </a:r>
          <a:r>
            <a:rPr lang="tr-TR" sz="16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Yıldırım</a:t>
          </a:r>
          <a:endParaRPr lang="tr-TR" sz="16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buFont typeface="Arial" panose="020B0604020202020204" pitchFamily="34" charset="0"/>
            <a:buNone/>
          </a:pP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Yolüstü</a:t>
          </a:r>
          <a:r>
            <a:rPr lang="tr-TR" sz="16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/ MERZİFON / AMASYA</a:t>
          </a:r>
        </a:p>
        <a:p>
          <a:pPr marL="0" indent="0" algn="l">
            <a:buFont typeface="Arial" panose="020B0604020202020204" pitchFamily="34" charset="0"/>
            <a:buNone/>
          </a:pPr>
          <a:r>
            <a:rPr lang="tr-TR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16.09.2025 TARİHLİ FİYATA GÖRE HAZIRLANMIŞTIR.</a:t>
          </a:r>
          <a:r>
            <a:rPr lang="tr-TR" sz="1600" b="0">
              <a:effectLst/>
            </a:rPr>
            <a:t> </a:t>
          </a:r>
          <a:endParaRPr lang="tr-TR" sz="16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876300</xdr:colOff>
      <xdr:row>3</xdr:row>
      <xdr:rowOff>19050</xdr:rowOff>
    </xdr:to>
    <xdr:sp macro="" textlink="">
      <xdr:nvSpPr>
        <xdr:cNvPr id="3" name="Rectangle: Rounded Corners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124575" y="333375"/>
          <a:ext cx="876300" cy="6191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ANA SAYFA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142875</xdr:colOff>
      <xdr:row>0</xdr:row>
      <xdr:rowOff>276225</xdr:rowOff>
    </xdr:to>
    <xdr:sp macro="" textlink="">
      <xdr:nvSpPr>
        <xdr:cNvPr id="4" name="Rectangle: Rounded Corners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0" y="0"/>
          <a:ext cx="1562100" cy="2762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FİYAT LİSTESİ</a:t>
          </a:r>
        </a:p>
      </xdr:txBody>
    </xdr:sp>
    <xdr:clientData/>
  </xdr:twoCellAnchor>
  <xdr:twoCellAnchor>
    <xdr:from>
      <xdr:col>9</xdr:col>
      <xdr:colOff>447675</xdr:colOff>
      <xdr:row>0</xdr:row>
      <xdr:rowOff>47625</xdr:rowOff>
    </xdr:from>
    <xdr:to>
      <xdr:col>11</xdr:col>
      <xdr:colOff>104775</xdr:colOff>
      <xdr:row>0</xdr:row>
      <xdr:rowOff>323850</xdr:rowOff>
    </xdr:to>
    <xdr:sp macro="" textlink="">
      <xdr:nvSpPr>
        <xdr:cNvPr id="5" name="Rectangle: Rounded Corners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10944225" y="47625"/>
          <a:ext cx="1562100" cy="2762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 b="1">
              <a:solidFill>
                <a:schemeClr val="accent4">
                  <a:lumMod val="50000"/>
                </a:schemeClr>
              </a:solidFill>
            </a:rPr>
            <a:t>FİYAT LİSTESİ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Tablo23" displayName="Tablo23" ref="A2:E35" totalsRowShown="0" headerRowDxfId="5" dataDxfId="4">
  <autoFilter ref="A2:E35" xr:uid="{00000000-0009-0000-0100-000017000000}"/>
  <tableColumns count="5">
    <tableColumn id="1" xr3:uid="{00000000-0010-0000-0000-000001000000}" name="Ekipman Adı" dataDxfId="3"/>
    <tableColumn id="2" xr3:uid="{00000000-0010-0000-0000-000002000000}" name="Üye Fiyatı" dataDxfId="2"/>
    <tableColumn id="3" xr3:uid="{00000000-0010-0000-0000-000003000000}" name="Aday Üye Fiyatı" dataDxfId="1"/>
    <tableColumn id="4" xr3:uid="{00000000-0010-0000-0000-000004000000}" name="Verilen Hizmet Türü" dataDxfId="0"/>
    <tableColumn id="11" xr3:uid="{00000000-0010-0000-0000-00000B000000}" name="Sütun7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masyadsyb.org/faaliyet/urunsatis" TargetMode="Externa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workbookViewId="0">
      <selection activeCell="F8" sqref="F8"/>
    </sheetView>
  </sheetViews>
  <sheetFormatPr defaultRowHeight="15" x14ac:dyDescent="0.25"/>
  <cols>
    <col min="1" max="1" width="13" customWidth="1"/>
    <col min="3" max="3" width="12.85546875" customWidth="1"/>
  </cols>
  <sheetData>
    <row r="1" spans="1:10" x14ac:dyDescent="0.25">
      <c r="A1" t="s">
        <v>163</v>
      </c>
    </row>
    <row r="2" spans="1:10" x14ac:dyDescent="0.25">
      <c r="A2" t="s">
        <v>167</v>
      </c>
    </row>
    <row r="3" spans="1:10" x14ac:dyDescent="0.25">
      <c r="A3" t="s">
        <v>164</v>
      </c>
    </row>
    <row r="4" spans="1:10" x14ac:dyDescent="0.25">
      <c r="B4" s="82">
        <f>1-0.27/0.3</f>
        <v>9.9999999999999867E-2</v>
      </c>
      <c r="C4" t="s">
        <v>165</v>
      </c>
      <c r="D4" t="s">
        <v>166</v>
      </c>
    </row>
    <row r="5" spans="1:10" x14ac:dyDescent="0.25">
      <c r="A5" t="s">
        <v>168</v>
      </c>
    </row>
    <row r="6" spans="1:10" x14ac:dyDescent="0.25">
      <c r="B6" t="s">
        <v>169</v>
      </c>
    </row>
    <row r="7" spans="1:10" x14ac:dyDescent="0.25">
      <c r="B7" t="s">
        <v>179</v>
      </c>
    </row>
    <row r="8" spans="1:10" x14ac:dyDescent="0.25">
      <c r="A8" t="s">
        <v>170</v>
      </c>
    </row>
    <row r="9" spans="1:10" x14ac:dyDescent="0.25">
      <c r="A9" t="s">
        <v>171</v>
      </c>
    </row>
    <row r="10" spans="1:10" x14ac:dyDescent="0.25">
      <c r="B10" t="s">
        <v>173</v>
      </c>
    </row>
    <row r="11" spans="1:10" x14ac:dyDescent="0.25">
      <c r="C11" t="s">
        <v>172</v>
      </c>
    </row>
    <row r="12" spans="1:10" x14ac:dyDescent="0.25">
      <c r="B12" s="337" t="s">
        <v>178</v>
      </c>
      <c r="C12" s="337"/>
    </row>
    <row r="13" spans="1:10" x14ac:dyDescent="0.25">
      <c r="B13" t="s">
        <v>174</v>
      </c>
      <c r="C13" t="s">
        <v>175</v>
      </c>
      <c r="H13">
        <v>0.3</v>
      </c>
      <c r="I13">
        <v>0.88</v>
      </c>
      <c r="J13">
        <f>H13/I13</f>
        <v>0.34090909090909088</v>
      </c>
    </row>
    <row r="14" spans="1:10" x14ac:dyDescent="0.25">
      <c r="A14" t="s">
        <v>181</v>
      </c>
      <c r="B14" s="83">
        <v>0.3</v>
      </c>
      <c r="C14" s="83">
        <v>0.32</v>
      </c>
    </row>
    <row r="15" spans="1:10" x14ac:dyDescent="0.25">
      <c r="A15" t="s">
        <v>180</v>
      </c>
      <c r="B15">
        <v>10000</v>
      </c>
      <c r="C15">
        <f>B15*0.3/0.32</f>
        <v>9375</v>
      </c>
    </row>
    <row r="17" spans="1:6" x14ac:dyDescent="0.25">
      <c r="B17" s="83"/>
      <c r="D17" t="s">
        <v>177</v>
      </c>
      <c r="E17" t="s">
        <v>82</v>
      </c>
    </row>
    <row r="18" spans="1:6" x14ac:dyDescent="0.25">
      <c r="A18" t="s">
        <v>182</v>
      </c>
      <c r="D18" s="83">
        <v>0.04</v>
      </c>
      <c r="E18" s="83">
        <v>0.08</v>
      </c>
    </row>
    <row r="19" spans="1:6" x14ac:dyDescent="0.25">
      <c r="A19" t="s">
        <v>176</v>
      </c>
      <c r="D19">
        <f>C15*(1-0.04)</f>
        <v>9000</v>
      </c>
      <c r="E19">
        <f>C15*(1-0.08)</f>
        <v>8625</v>
      </c>
    </row>
    <row r="21" spans="1:6" x14ac:dyDescent="0.25">
      <c r="A21" t="s">
        <v>183</v>
      </c>
      <c r="D21" s="84">
        <f>(1-D19/B15)</f>
        <v>9.9999999999999978E-2</v>
      </c>
      <c r="E21" s="84">
        <f>(1-E19/B15)</f>
        <v>0.13749999999999996</v>
      </c>
      <c r="F21" s="85"/>
    </row>
    <row r="22" spans="1:6" x14ac:dyDescent="0.25">
      <c r="A22" t="s">
        <v>184</v>
      </c>
      <c r="D22" s="83">
        <v>0.09</v>
      </c>
      <c r="E22" s="86">
        <v>0.125</v>
      </c>
      <c r="F22" s="85"/>
    </row>
    <row r="24" spans="1:6" x14ac:dyDescent="0.25">
      <c r="A24" t="s">
        <v>185</v>
      </c>
    </row>
    <row r="25" spans="1:6" x14ac:dyDescent="0.25">
      <c r="B25" t="s">
        <v>186</v>
      </c>
    </row>
    <row r="26" spans="1:6" x14ac:dyDescent="0.25">
      <c r="A26" t="s">
        <v>187</v>
      </c>
    </row>
  </sheetData>
  <mergeCells count="1">
    <mergeCell ref="B12:C1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K85"/>
  <sheetViews>
    <sheetView workbookViewId="0">
      <selection activeCell="G11" sqref="G11"/>
    </sheetView>
  </sheetViews>
  <sheetFormatPr defaultColWidth="9.140625" defaultRowHeight="21" x14ac:dyDescent="0.25"/>
  <cols>
    <col min="1" max="1" width="21.28515625" style="260" customWidth="1"/>
    <col min="2" max="2" width="22.7109375" style="260" customWidth="1"/>
    <col min="3" max="3" width="17.140625" style="260" customWidth="1"/>
    <col min="4" max="4" width="15" style="260" customWidth="1"/>
    <col min="5" max="5" width="15.7109375" style="260" bestFit="1" customWidth="1"/>
    <col min="6" max="6" width="16.5703125" style="261" customWidth="1"/>
    <col min="7" max="7" width="16.7109375" style="260" customWidth="1"/>
    <col min="8" max="8" width="15" style="260" customWidth="1"/>
    <col min="9" max="9" width="17.28515625" style="260" customWidth="1"/>
    <col min="10" max="10" width="13.28515625" style="260" customWidth="1"/>
    <col min="11" max="11" width="15.28515625" style="222" customWidth="1"/>
    <col min="12" max="12" width="15.7109375" style="222" customWidth="1"/>
    <col min="13" max="13" width="14.140625" style="260" customWidth="1"/>
    <col min="14" max="14" width="19.140625" style="222" customWidth="1"/>
    <col min="15" max="15" width="14.7109375" style="222" customWidth="1"/>
    <col min="16" max="16" width="13.28515625" style="222" customWidth="1"/>
    <col min="17" max="17" width="13" style="222" customWidth="1"/>
    <col min="18" max="18" width="15.28515625" style="222" customWidth="1"/>
    <col min="19" max="19" width="32.85546875" style="222" customWidth="1"/>
    <col min="20" max="20" width="3.7109375" style="222" customWidth="1"/>
    <col min="21" max="21" width="95" style="223" customWidth="1"/>
    <col min="22" max="22" width="3.7109375" style="223" customWidth="1"/>
    <col min="23" max="63" width="9.140625" style="223"/>
    <col min="64" max="16384" width="9.140625" style="32"/>
  </cols>
  <sheetData>
    <row r="1" spans="1:63" ht="26.25" x14ac:dyDescent="0.25">
      <c r="A1" s="566" t="s">
        <v>206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275"/>
      <c r="M1" s="275"/>
      <c r="N1" s="275"/>
      <c r="O1" s="275"/>
      <c r="P1" s="275"/>
      <c r="Q1" s="275"/>
    </row>
    <row r="2" spans="1:63" ht="26.25" x14ac:dyDescent="0.25">
      <c r="A2" s="451" t="s">
        <v>145</v>
      </c>
      <c r="B2" s="451"/>
      <c r="C2" s="451"/>
      <c r="D2" s="451"/>
      <c r="E2" s="451"/>
      <c r="F2" s="452" t="s">
        <v>146</v>
      </c>
      <c r="G2" s="452"/>
      <c r="H2" s="452"/>
      <c r="I2" s="452"/>
      <c r="J2" s="452"/>
      <c r="K2" s="452"/>
      <c r="L2" s="224"/>
      <c r="M2" s="222"/>
    </row>
    <row r="3" spans="1:63" x14ac:dyDescent="0.25">
      <c r="A3" s="451"/>
      <c r="B3" s="451"/>
      <c r="C3" s="451"/>
      <c r="D3" s="451"/>
      <c r="E3" s="451"/>
      <c r="F3" s="452"/>
      <c r="G3" s="452"/>
      <c r="H3" s="452"/>
      <c r="I3" s="452"/>
      <c r="J3" s="452"/>
      <c r="K3" s="452"/>
      <c r="L3" s="225"/>
      <c r="M3" s="222"/>
      <c r="P3" s="223"/>
      <c r="Q3" s="223"/>
      <c r="R3" s="223"/>
      <c r="S3" s="223"/>
      <c r="T3" s="223"/>
      <c r="BG3" s="32"/>
      <c r="BH3" s="32"/>
      <c r="BI3" s="32"/>
      <c r="BJ3" s="32"/>
      <c r="BK3" s="32"/>
    </row>
    <row r="4" spans="1:63" s="226" customFormat="1" x14ac:dyDescent="0.25">
      <c r="A4" s="453" t="s">
        <v>135</v>
      </c>
      <c r="B4" s="455" t="s">
        <v>136</v>
      </c>
      <c r="C4" s="455" t="s">
        <v>104</v>
      </c>
      <c r="D4" s="455" t="s">
        <v>152</v>
      </c>
      <c r="E4" s="455" t="s">
        <v>137</v>
      </c>
      <c r="F4" s="458" t="s">
        <v>147</v>
      </c>
      <c r="G4" s="458"/>
      <c r="H4" s="458" t="s">
        <v>141</v>
      </c>
      <c r="I4" s="458"/>
      <c r="J4" s="458" t="s">
        <v>138</v>
      </c>
      <c r="K4" s="458"/>
      <c r="L4" s="223"/>
      <c r="M4" s="222"/>
      <c r="N4" s="222"/>
      <c r="O4" s="222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</row>
    <row r="5" spans="1:63" s="226" customFormat="1" x14ac:dyDescent="0.25">
      <c r="A5" s="453"/>
      <c r="B5" s="456"/>
      <c r="C5" s="456"/>
      <c r="D5" s="456"/>
      <c r="E5" s="456"/>
      <c r="F5" s="459" t="s">
        <v>148</v>
      </c>
      <c r="G5" s="459" t="s">
        <v>149</v>
      </c>
      <c r="H5" s="461" t="s">
        <v>142</v>
      </c>
      <c r="I5" s="461" t="s">
        <v>143</v>
      </c>
      <c r="J5" s="461" t="s">
        <v>139</v>
      </c>
      <c r="K5" s="461" t="s">
        <v>140</v>
      </c>
      <c r="L5" s="223"/>
      <c r="M5" s="222"/>
      <c r="N5" s="222"/>
      <c r="O5" s="222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3"/>
      <c r="AS5" s="223"/>
      <c r="AT5" s="223"/>
      <c r="AU5" s="223"/>
      <c r="AV5" s="223"/>
      <c r="AW5" s="223"/>
      <c r="AX5" s="223"/>
      <c r="AY5" s="223"/>
      <c r="AZ5" s="223"/>
      <c r="BA5" s="223"/>
      <c r="BB5" s="223"/>
      <c r="BC5" s="223"/>
      <c r="BD5" s="223"/>
      <c r="BE5" s="223"/>
    </row>
    <row r="6" spans="1:63" s="226" customFormat="1" x14ac:dyDescent="0.25">
      <c r="A6" s="454"/>
      <c r="B6" s="457"/>
      <c r="C6" s="456"/>
      <c r="D6" s="456"/>
      <c r="E6" s="456"/>
      <c r="F6" s="460"/>
      <c r="G6" s="460"/>
      <c r="H6" s="461"/>
      <c r="I6" s="461"/>
      <c r="J6" s="461"/>
      <c r="K6" s="461"/>
      <c r="L6" s="223"/>
      <c r="M6" s="222"/>
      <c r="N6" s="222"/>
      <c r="O6" s="222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3"/>
      <c r="AT6" s="223"/>
      <c r="AU6" s="223"/>
      <c r="AV6" s="223"/>
      <c r="AW6" s="223"/>
      <c r="AX6" s="223"/>
      <c r="AY6" s="223"/>
      <c r="AZ6" s="223"/>
      <c r="BA6" s="223"/>
      <c r="BB6" s="223"/>
      <c r="BC6" s="223"/>
      <c r="BD6" s="223"/>
      <c r="BE6" s="223"/>
    </row>
    <row r="7" spans="1:63" s="226" customFormat="1" x14ac:dyDescent="0.25">
      <c r="A7" s="53" t="s">
        <v>121</v>
      </c>
      <c r="B7" s="282">
        <v>1</v>
      </c>
      <c r="C7" s="283">
        <v>4000</v>
      </c>
      <c r="D7" s="283"/>
      <c r="E7" s="54" t="str">
        <f>IF(D7&gt;0,C7*D7,"")</f>
        <v/>
      </c>
      <c r="F7" s="55">
        <f>E39+K44</f>
        <v>5599</v>
      </c>
      <c r="G7" s="55">
        <f>F7-E$44</f>
        <v>4843</v>
      </c>
      <c r="H7" s="56" t="str">
        <f>IF(D7="","",E7-F7)</f>
        <v/>
      </c>
      <c r="I7" s="56" t="str">
        <f>IF(H7="","",H7+E$44)</f>
        <v/>
      </c>
      <c r="J7" s="57">
        <f>F7/C7</f>
        <v>1.39975</v>
      </c>
      <c r="K7" s="57">
        <f>G7/C7</f>
        <v>1.21075</v>
      </c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</row>
    <row r="8" spans="1:63" s="226" customFormat="1" ht="21" customHeight="1" x14ac:dyDescent="0.25">
      <c r="A8" s="599" t="s">
        <v>202</v>
      </c>
      <c r="B8" s="282" t="s">
        <v>159</v>
      </c>
      <c r="C8" s="283">
        <v>550</v>
      </c>
      <c r="D8" s="328">
        <v>13</v>
      </c>
      <c r="E8" s="564">
        <f>IF(D9&gt;0,C9*D9,"")+IF(D8&gt;0,C8*D8,"")</f>
        <v>7535</v>
      </c>
      <c r="F8" s="568">
        <f>F7+K22</f>
        <v>5819</v>
      </c>
      <c r="G8" s="568">
        <f>F8-E$44</f>
        <v>5063</v>
      </c>
      <c r="H8" s="570">
        <f>IF(D9="","",E8-F8)</f>
        <v>1716</v>
      </c>
      <c r="I8" s="570">
        <f>IF(H8="","",H8+E$44)</f>
        <v>2472</v>
      </c>
      <c r="J8" s="57"/>
      <c r="K8" s="57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</row>
    <row r="9" spans="1:63" s="226" customFormat="1" x14ac:dyDescent="0.25">
      <c r="A9" s="600"/>
      <c r="B9" s="284" t="s">
        <v>207</v>
      </c>
      <c r="C9" s="283">
        <v>350</v>
      </c>
      <c r="D9" s="328">
        <v>1.1000000000000001</v>
      </c>
      <c r="E9" s="565"/>
      <c r="F9" s="569"/>
      <c r="G9" s="569"/>
      <c r="H9" s="571"/>
      <c r="I9" s="571"/>
      <c r="J9" s="57"/>
      <c r="K9" s="57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223"/>
      <c r="AS9" s="223"/>
      <c r="AT9" s="223"/>
      <c r="AU9" s="223"/>
      <c r="AV9" s="223"/>
      <c r="AW9" s="223"/>
      <c r="AX9" s="223"/>
      <c r="AY9" s="223"/>
      <c r="AZ9" s="223"/>
      <c r="BA9" s="223"/>
      <c r="BB9" s="223"/>
      <c r="BC9" s="223"/>
      <c r="BD9" s="223"/>
      <c r="BE9" s="223"/>
    </row>
    <row r="10" spans="1:63" s="226" customFormat="1" x14ac:dyDescent="0.25">
      <c r="A10" s="53" t="s">
        <v>124</v>
      </c>
      <c r="B10" s="286">
        <v>0.91</v>
      </c>
      <c r="C10" s="283">
        <f>C$7*B10</f>
        <v>3640</v>
      </c>
      <c r="D10" s="287">
        <v>3.2</v>
      </c>
      <c r="E10" s="58">
        <f t="shared" ref="E10:E11" si="0">IF(D10&gt;0,C10*D10,"")</f>
        <v>11648</v>
      </c>
      <c r="F10" s="60">
        <f>F7+K29-K44</f>
        <v>9668.119999999999</v>
      </c>
      <c r="G10" s="55">
        <f>F10-E$44</f>
        <v>8912.119999999999</v>
      </c>
      <c r="H10" s="56">
        <f>IF(D10="","",E10-F10)</f>
        <v>1979.880000000001</v>
      </c>
      <c r="I10" s="56">
        <f>IF(H10="","",H10+E$44)</f>
        <v>2735.880000000001</v>
      </c>
      <c r="J10" s="57">
        <f>F10/C10</f>
        <v>2.656076923076923</v>
      </c>
      <c r="K10" s="57">
        <f>G10/C10</f>
        <v>2.4483846153846152</v>
      </c>
      <c r="L10" s="222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  <c r="AL10" s="223"/>
      <c r="AM10" s="223"/>
      <c r="AN10" s="223"/>
      <c r="AO10" s="223"/>
      <c r="AP10" s="223"/>
      <c r="AQ10" s="223"/>
      <c r="AR10" s="223"/>
      <c r="AS10" s="223"/>
      <c r="AT10" s="223"/>
      <c r="AU10" s="223"/>
      <c r="AV10" s="223"/>
      <c r="AW10" s="223"/>
      <c r="AX10" s="223"/>
      <c r="AY10" s="223"/>
      <c r="AZ10" s="223"/>
      <c r="BA10" s="223"/>
      <c r="BB10" s="223"/>
      <c r="BC10" s="223"/>
      <c r="BD10" s="223"/>
      <c r="BE10" s="223"/>
    </row>
    <row r="11" spans="1:63" s="226" customFormat="1" x14ac:dyDescent="0.25">
      <c r="A11" s="53" t="s">
        <v>82</v>
      </c>
      <c r="B11" s="286">
        <v>0.875</v>
      </c>
      <c r="C11" s="283">
        <f>C$7*B11</f>
        <v>3500</v>
      </c>
      <c r="D11" s="287">
        <v>3</v>
      </c>
      <c r="E11" s="58">
        <f t="shared" si="0"/>
        <v>10500</v>
      </c>
      <c r="F11" s="60">
        <f>F7+K39-K44</f>
        <v>7967.75</v>
      </c>
      <c r="G11" s="55">
        <f>F11-E$44</f>
        <v>7211.75</v>
      </c>
      <c r="H11" s="56">
        <f>IF(D11="","",E11-F11)</f>
        <v>2532.25</v>
      </c>
      <c r="I11" s="56">
        <f>IF(H11="","",H11+E$44)</f>
        <v>3288.25</v>
      </c>
      <c r="J11" s="57">
        <f>F11/C11</f>
        <v>2.2765</v>
      </c>
      <c r="K11" s="57">
        <f>G11/C11</f>
        <v>2.0605000000000002</v>
      </c>
      <c r="L11" s="222"/>
      <c r="M11" s="222"/>
      <c r="N11" s="222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</row>
    <row r="12" spans="1:63" s="226" customFormat="1" ht="21.75" thickBot="1" x14ac:dyDescent="0.3">
      <c r="A12" s="462"/>
      <c r="B12" s="462"/>
      <c r="C12" s="462"/>
      <c r="D12" s="462"/>
      <c r="E12" s="462"/>
      <c r="F12" s="462"/>
      <c r="G12" s="462"/>
      <c r="H12" s="462"/>
      <c r="I12" s="462"/>
      <c r="J12" s="462"/>
      <c r="K12" s="462"/>
      <c r="L12" s="89"/>
      <c r="M12" s="222"/>
      <c r="N12" s="222"/>
      <c r="O12" s="222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  <c r="AY12" s="223"/>
      <c r="AZ12" s="223"/>
      <c r="BA12" s="223"/>
      <c r="BB12" s="223"/>
      <c r="BC12" s="223"/>
      <c r="BD12" s="223"/>
      <c r="BE12" s="223"/>
      <c r="BF12" s="223"/>
    </row>
    <row r="13" spans="1:63" s="226" customFormat="1" ht="21" customHeight="1" x14ac:dyDescent="0.25">
      <c r="A13" s="601" t="s">
        <v>144</v>
      </c>
      <c r="B13" s="601"/>
      <c r="C13" s="601"/>
      <c r="D13" s="601"/>
      <c r="E13" s="602"/>
      <c r="F13" s="607" t="s">
        <v>192</v>
      </c>
      <c r="G13" s="610" t="s">
        <v>150</v>
      </c>
      <c r="H13" s="611"/>
      <c r="I13" s="611"/>
      <c r="J13" s="611"/>
      <c r="K13" s="611"/>
      <c r="L13" s="89"/>
      <c r="M13" s="222"/>
      <c r="N13" s="222"/>
      <c r="O13" s="222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3"/>
      <c r="AN13" s="223"/>
      <c r="AO13" s="223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3"/>
      <c r="BE13" s="223"/>
      <c r="BF13" s="223"/>
    </row>
    <row r="14" spans="1:63" s="226" customFormat="1" x14ac:dyDescent="0.25">
      <c r="A14" s="603"/>
      <c r="B14" s="603"/>
      <c r="C14" s="603"/>
      <c r="D14" s="603"/>
      <c r="E14" s="604"/>
      <c r="F14" s="608"/>
      <c r="G14" s="610"/>
      <c r="H14" s="611"/>
      <c r="I14" s="611"/>
      <c r="J14" s="611"/>
      <c r="K14" s="611"/>
      <c r="L14" s="228"/>
      <c r="M14" s="228"/>
      <c r="N14" s="229"/>
      <c r="O14" s="229"/>
      <c r="P14" s="229"/>
      <c r="Q14" s="229"/>
      <c r="R14" s="222"/>
      <c r="S14" s="222"/>
      <c r="T14" s="222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23"/>
      <c r="AZ14" s="223"/>
      <c r="BA14" s="223"/>
      <c r="BB14" s="223"/>
      <c r="BC14" s="223"/>
      <c r="BD14" s="223"/>
      <c r="BE14" s="223"/>
      <c r="BF14" s="223"/>
      <c r="BG14" s="223"/>
      <c r="BH14" s="223"/>
      <c r="BI14" s="223"/>
      <c r="BJ14" s="223"/>
      <c r="BK14" s="223"/>
    </row>
    <row r="15" spans="1:63" s="226" customFormat="1" x14ac:dyDescent="0.25">
      <c r="A15" s="605"/>
      <c r="B15" s="605"/>
      <c r="C15" s="605"/>
      <c r="D15" s="605"/>
      <c r="E15" s="606"/>
      <c r="F15" s="608"/>
      <c r="G15" s="612"/>
      <c r="H15" s="613"/>
      <c r="I15" s="613"/>
      <c r="J15" s="613"/>
      <c r="K15" s="613"/>
      <c r="L15" s="229"/>
      <c r="M15" s="229"/>
      <c r="N15" s="229"/>
      <c r="O15" s="229"/>
      <c r="P15" s="222"/>
      <c r="Q15" s="222"/>
      <c r="R15" s="222"/>
      <c r="S15" s="222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  <c r="AO15" s="223"/>
      <c r="AP15" s="223"/>
      <c r="AQ15" s="223"/>
      <c r="AR15" s="223"/>
      <c r="AS15" s="223"/>
      <c r="AT15" s="223"/>
      <c r="AU15" s="223"/>
      <c r="AV15" s="223"/>
      <c r="AW15" s="223"/>
      <c r="AX15" s="223"/>
      <c r="AY15" s="223"/>
      <c r="AZ15" s="223"/>
      <c r="BA15" s="223"/>
      <c r="BB15" s="223"/>
      <c r="BC15" s="223"/>
      <c r="BD15" s="223"/>
      <c r="BE15" s="223"/>
      <c r="BF15" s="223"/>
      <c r="BG15" s="223"/>
      <c r="BH15" s="223"/>
      <c r="BI15" s="223"/>
    </row>
    <row r="16" spans="1:63" s="226" customFormat="1" ht="21.75" thickBot="1" x14ac:dyDescent="0.3">
      <c r="A16" s="476" t="s">
        <v>108</v>
      </c>
      <c r="B16" s="477"/>
      <c r="C16" s="477"/>
      <c r="D16" s="478"/>
      <c r="E16" s="288">
        <v>1600</v>
      </c>
      <c r="F16" s="609"/>
      <c r="G16" s="614" t="s">
        <v>122</v>
      </c>
      <c r="H16" s="615"/>
      <c r="I16" s="615"/>
      <c r="J16" s="103" t="s">
        <v>123</v>
      </c>
      <c r="K16" s="281" t="s">
        <v>0</v>
      </c>
      <c r="L16" s="229"/>
      <c r="M16" s="229"/>
      <c r="N16" s="229"/>
      <c r="O16" s="231"/>
      <c r="P16" s="222"/>
      <c r="Q16" s="222"/>
      <c r="R16" s="222"/>
      <c r="S16" s="222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223"/>
      <c r="AS16" s="223"/>
      <c r="AT16" s="223"/>
      <c r="AU16" s="223"/>
      <c r="AV16" s="223"/>
      <c r="AW16" s="223"/>
      <c r="AX16" s="223"/>
      <c r="AY16" s="223"/>
      <c r="AZ16" s="223"/>
      <c r="BA16" s="223"/>
      <c r="BB16" s="223"/>
      <c r="BC16" s="223"/>
      <c r="BD16" s="223"/>
      <c r="BE16" s="223"/>
      <c r="BF16" s="223"/>
      <c r="BG16" s="223"/>
      <c r="BH16" s="223"/>
      <c r="BI16" s="223"/>
    </row>
    <row r="17" spans="1:63" s="226" customFormat="1" ht="21" customHeight="1" x14ac:dyDescent="0.25">
      <c r="A17" s="618" t="s">
        <v>99</v>
      </c>
      <c r="B17" s="618"/>
      <c r="C17" s="489" t="s">
        <v>110</v>
      </c>
      <c r="D17" s="489"/>
      <c r="E17" s="232" t="s">
        <v>109</v>
      </c>
      <c r="F17" s="621" t="s">
        <v>203</v>
      </c>
      <c r="G17" s="480" t="s">
        <v>228</v>
      </c>
      <c r="H17" s="480"/>
      <c r="I17" s="480"/>
      <c r="J17" s="145">
        <f>VLOOKUP(G17,'FİYAT LİSTESİ'!G:I,3,0)</f>
        <v>400</v>
      </c>
      <c r="K17" s="114">
        <f>ROUNDUP(C8*J17/1000,0)</f>
        <v>220</v>
      </c>
      <c r="L17" s="229"/>
      <c r="M17" s="229"/>
      <c r="N17" s="229"/>
      <c r="O17" s="223"/>
      <c r="P17" s="223"/>
      <c r="Q17" s="223"/>
      <c r="R17" s="223"/>
      <c r="S17" s="223"/>
      <c r="T17" s="222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223"/>
      <c r="AO17" s="223"/>
      <c r="AP17" s="223"/>
      <c r="AQ17" s="223"/>
      <c r="AR17" s="223"/>
      <c r="AS17" s="223"/>
      <c r="AT17" s="223"/>
      <c r="AU17" s="223"/>
      <c r="AV17" s="223"/>
      <c r="AW17" s="223"/>
      <c r="AX17" s="223"/>
      <c r="AY17" s="223"/>
      <c r="AZ17" s="223"/>
      <c r="BA17" s="223"/>
      <c r="BB17" s="223"/>
      <c r="BC17" s="223"/>
      <c r="BD17" s="223"/>
      <c r="BE17" s="223"/>
      <c r="BF17" s="223"/>
      <c r="BG17" s="223"/>
      <c r="BH17" s="223"/>
      <c r="BI17" s="223"/>
      <c r="BJ17" s="223"/>
    </row>
    <row r="18" spans="1:63" s="226" customFormat="1" ht="21" customHeight="1" x14ac:dyDescent="0.25">
      <c r="A18" s="619"/>
      <c r="B18" s="619"/>
      <c r="C18" s="492" t="s">
        <v>100</v>
      </c>
      <c r="D18" s="492"/>
      <c r="E18" s="59">
        <f>VLOOKUP(C18,'FİYAT LİSTESİ'!B:D,3,0)</f>
        <v>375</v>
      </c>
      <c r="F18" s="622"/>
      <c r="G18" s="616"/>
      <c r="H18" s="617"/>
      <c r="I18" s="479"/>
      <c r="J18" s="221"/>
      <c r="K18" s="114"/>
      <c r="L18" s="229"/>
      <c r="M18" s="229"/>
      <c r="N18" s="229"/>
      <c r="O18" s="223"/>
      <c r="P18" s="223"/>
      <c r="Q18" s="223"/>
      <c r="R18" s="223"/>
      <c r="S18" s="223"/>
      <c r="T18" s="222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23"/>
      <c r="AN18" s="223"/>
      <c r="AO18" s="223"/>
      <c r="AP18" s="223"/>
      <c r="AQ18" s="223"/>
      <c r="AR18" s="223"/>
      <c r="AS18" s="223"/>
      <c r="AT18" s="223"/>
      <c r="AU18" s="223"/>
      <c r="AV18" s="223"/>
      <c r="AW18" s="223"/>
      <c r="AX18" s="223"/>
      <c r="AY18" s="223"/>
      <c r="AZ18" s="223"/>
      <c r="BA18" s="223"/>
      <c r="BB18" s="223"/>
      <c r="BC18" s="223"/>
      <c r="BD18" s="223"/>
      <c r="BE18" s="223"/>
      <c r="BF18" s="223"/>
      <c r="BG18" s="223"/>
      <c r="BH18" s="223"/>
      <c r="BI18" s="223"/>
      <c r="BJ18" s="223"/>
    </row>
    <row r="19" spans="1:63" s="226" customFormat="1" ht="21" customHeight="1" x14ac:dyDescent="0.25">
      <c r="A19" s="619"/>
      <c r="B19" s="619"/>
      <c r="C19" s="494" t="s">
        <v>101</v>
      </c>
      <c r="D19" s="494"/>
      <c r="E19" s="59">
        <f>VLOOKUP(C19,'FİYAT LİSTESİ'!B:D,3,0)</f>
        <v>305</v>
      </c>
      <c r="F19" s="622"/>
      <c r="G19" s="616"/>
      <c r="H19" s="617"/>
      <c r="I19" s="479"/>
      <c r="J19" s="221"/>
      <c r="K19" s="114"/>
      <c r="L19" s="229"/>
      <c r="M19" s="229"/>
      <c r="N19" s="229"/>
      <c r="O19" s="223"/>
      <c r="P19" s="223"/>
      <c r="Q19" s="223"/>
      <c r="R19" s="223"/>
      <c r="S19" s="223"/>
      <c r="T19" s="222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  <c r="AL19" s="223"/>
      <c r="AM19" s="223"/>
      <c r="AN19" s="223"/>
      <c r="AO19" s="223"/>
      <c r="AP19" s="223"/>
      <c r="AQ19" s="223"/>
      <c r="AR19" s="223"/>
      <c r="AS19" s="223"/>
      <c r="AT19" s="223"/>
      <c r="AU19" s="223"/>
      <c r="AV19" s="223"/>
      <c r="AW19" s="223"/>
      <c r="AX19" s="223"/>
      <c r="AY19" s="223"/>
      <c r="AZ19" s="223"/>
      <c r="BA19" s="223"/>
      <c r="BB19" s="223"/>
      <c r="BC19" s="223"/>
      <c r="BD19" s="223"/>
      <c r="BE19" s="223"/>
      <c r="BF19" s="223"/>
      <c r="BG19" s="223"/>
      <c r="BH19" s="223"/>
      <c r="BI19" s="223"/>
      <c r="BJ19" s="223"/>
    </row>
    <row r="20" spans="1:63" s="226" customFormat="1" ht="21" customHeight="1" x14ac:dyDescent="0.25">
      <c r="A20" s="619"/>
      <c r="B20" s="619"/>
      <c r="C20" s="492" t="s">
        <v>102</v>
      </c>
      <c r="D20" s="492"/>
      <c r="E20" s="59">
        <f>VLOOKUP(C20,'FİYAT LİSTESİ'!B:D,3,0)</f>
        <v>165</v>
      </c>
      <c r="F20" s="622"/>
      <c r="G20" s="480"/>
      <c r="H20" s="480"/>
      <c r="I20" s="480"/>
      <c r="J20" s="221"/>
      <c r="K20" s="114"/>
      <c r="L20" s="141"/>
      <c r="M20" s="233"/>
      <c r="N20" s="233"/>
      <c r="O20" s="223"/>
      <c r="P20" s="223"/>
      <c r="Q20" s="223"/>
      <c r="R20" s="223"/>
      <c r="S20" s="223"/>
      <c r="T20" s="222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  <c r="AY20" s="223"/>
      <c r="AZ20" s="223"/>
      <c r="BA20" s="223"/>
      <c r="BB20" s="223"/>
      <c r="BC20" s="223"/>
      <c r="BD20" s="223"/>
      <c r="BE20" s="223"/>
      <c r="BF20" s="223"/>
      <c r="BG20" s="223"/>
      <c r="BH20" s="223"/>
      <c r="BI20" s="223"/>
      <c r="BJ20" s="223"/>
    </row>
    <row r="21" spans="1:63" s="226" customFormat="1" ht="21" customHeight="1" x14ac:dyDescent="0.25">
      <c r="A21" s="619"/>
      <c r="B21" s="619"/>
      <c r="C21" s="492" t="s">
        <v>93</v>
      </c>
      <c r="D21" s="492"/>
      <c r="E21" s="59">
        <f>VLOOKUP(C21,'FİYAT LİSTESİ'!B:D,3,0)</f>
        <v>85</v>
      </c>
      <c r="F21" s="622"/>
      <c r="G21" s="480"/>
      <c r="H21" s="480"/>
      <c r="I21" s="480"/>
      <c r="J21" s="221"/>
      <c r="K21" s="114"/>
      <c r="L21" s="141"/>
      <c r="M21" s="229"/>
      <c r="N21" s="229"/>
      <c r="O21" s="229"/>
      <c r="P21" s="229"/>
      <c r="Q21" s="234"/>
      <c r="R21" s="223"/>
      <c r="S21" s="222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23"/>
      <c r="AN21" s="223"/>
      <c r="AO21" s="223"/>
      <c r="AP21" s="223"/>
      <c r="AQ21" s="223"/>
      <c r="AR21" s="223"/>
      <c r="AS21" s="223"/>
      <c r="AT21" s="223"/>
      <c r="AU21" s="223"/>
      <c r="AV21" s="223"/>
      <c r="AW21" s="223"/>
      <c r="AX21" s="223"/>
      <c r="AY21" s="223"/>
      <c r="AZ21" s="223"/>
      <c r="BA21" s="223"/>
      <c r="BB21" s="223"/>
      <c r="BC21" s="223"/>
      <c r="BD21" s="223"/>
      <c r="BE21" s="223"/>
      <c r="BF21" s="223"/>
      <c r="BG21" s="223"/>
      <c r="BH21" s="223"/>
      <c r="BI21" s="223"/>
      <c r="BJ21" s="223"/>
    </row>
    <row r="22" spans="1:63" s="226" customFormat="1" x14ac:dyDescent="0.25">
      <c r="A22" s="620"/>
      <c r="B22" s="620"/>
      <c r="C22" s="495" t="s">
        <v>18</v>
      </c>
      <c r="D22" s="495"/>
      <c r="E22" s="61">
        <f>SUM(E18:E21)</f>
        <v>930</v>
      </c>
      <c r="F22" s="622"/>
      <c r="G22" s="480" t="s">
        <v>18</v>
      </c>
      <c r="H22" s="480"/>
      <c r="I22" s="480"/>
      <c r="J22" s="480"/>
      <c r="K22" s="114">
        <f>SUM(K17:K21)</f>
        <v>220</v>
      </c>
      <c r="L22" s="229"/>
      <c r="M22" s="229"/>
      <c r="N22" s="231"/>
      <c r="O22" s="229"/>
      <c r="P22" s="229"/>
      <c r="Q22" s="234"/>
      <c r="R22" s="222"/>
      <c r="S22" s="222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  <c r="AR22" s="223"/>
      <c r="AS22" s="223"/>
      <c r="AT22" s="223"/>
      <c r="AU22" s="223"/>
      <c r="AV22" s="223"/>
      <c r="AW22" s="223"/>
      <c r="AX22" s="223"/>
      <c r="AY22" s="223"/>
      <c r="AZ22" s="223"/>
      <c r="BA22" s="223"/>
      <c r="BB22" s="223"/>
      <c r="BC22" s="223"/>
      <c r="BD22" s="223"/>
      <c r="BE22" s="223"/>
      <c r="BF22" s="223"/>
      <c r="BG22" s="223"/>
      <c r="BH22" s="223"/>
      <c r="BI22" s="223"/>
      <c r="BJ22" s="223"/>
    </row>
    <row r="23" spans="1:63" s="226" customFormat="1" ht="23.25" x14ac:dyDescent="0.25">
      <c r="A23" s="263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239"/>
      <c r="M23" s="231"/>
      <c r="N23" s="229"/>
      <c r="O23" s="231"/>
      <c r="P23" s="234"/>
      <c r="Q23" s="222"/>
      <c r="R23" s="222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O23" s="223"/>
      <c r="AP23" s="223"/>
      <c r="AQ23" s="223"/>
      <c r="AR23" s="223"/>
      <c r="AS23" s="223"/>
      <c r="AT23" s="223"/>
      <c r="AU23" s="223"/>
      <c r="AV23" s="223"/>
      <c r="AW23" s="223"/>
      <c r="AX23" s="223"/>
      <c r="AY23" s="223"/>
      <c r="AZ23" s="223"/>
      <c r="BA23" s="223"/>
      <c r="BB23" s="223"/>
      <c r="BC23" s="223"/>
      <c r="BD23" s="223"/>
      <c r="BE23" s="223"/>
      <c r="BF23" s="223"/>
      <c r="BG23" s="223"/>
      <c r="BH23" s="223"/>
      <c r="BI23" s="223"/>
    </row>
    <row r="24" spans="1:63" s="226" customFormat="1" ht="25.5" x14ac:dyDescent="0.25">
      <c r="A24" s="496" t="s">
        <v>103</v>
      </c>
      <c r="B24" s="235" t="s">
        <v>107</v>
      </c>
      <c r="C24" s="236" t="s">
        <v>104</v>
      </c>
      <c r="D24" s="237" t="s">
        <v>105</v>
      </c>
      <c r="E24" s="238" t="s">
        <v>0</v>
      </c>
      <c r="F24" s="498" t="s">
        <v>189</v>
      </c>
      <c r="G24" s="499" t="s">
        <v>125</v>
      </c>
      <c r="H24" s="499"/>
      <c r="I24" s="499"/>
      <c r="J24" s="66">
        <f>VLOOKUP(G24,'FİYAT LİSTESİ'!G:I,3,0)</f>
        <v>850</v>
      </c>
      <c r="K24" s="67">
        <f>J24</f>
        <v>850</v>
      </c>
      <c r="L24" s="229"/>
      <c r="M24" s="231"/>
      <c r="N24" s="239"/>
      <c r="O24" s="229"/>
      <c r="P24" s="229"/>
      <c r="Q24" s="231"/>
      <c r="R24" s="234"/>
      <c r="S24" s="222"/>
      <c r="T24" s="222"/>
      <c r="U24" s="222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  <c r="AL24" s="223"/>
      <c r="AM24" s="223"/>
      <c r="AN24" s="223"/>
      <c r="AO24" s="223"/>
      <c r="AP24" s="223"/>
      <c r="AQ24" s="223"/>
      <c r="AR24" s="223"/>
      <c r="AS24" s="223"/>
      <c r="AT24" s="223"/>
      <c r="AU24" s="223"/>
      <c r="AV24" s="223"/>
      <c r="AW24" s="223"/>
      <c r="AX24" s="223"/>
      <c r="AY24" s="223"/>
      <c r="AZ24" s="223"/>
      <c r="BA24" s="223"/>
      <c r="BB24" s="223"/>
      <c r="BC24" s="223"/>
      <c r="BD24" s="223"/>
      <c r="BE24" s="223"/>
      <c r="BF24" s="223"/>
      <c r="BG24" s="223"/>
      <c r="BH24" s="223"/>
      <c r="BI24" s="223"/>
      <c r="BJ24" s="223"/>
      <c r="BK24" s="223"/>
    </row>
    <row r="25" spans="1:63" s="226" customFormat="1" x14ac:dyDescent="0.25">
      <c r="A25" s="497"/>
      <c r="B25" s="240" t="s">
        <v>160</v>
      </c>
      <c r="C25" s="289">
        <v>22</v>
      </c>
      <c r="D25" s="80">
        <f>VLOOKUP(B25,'FİYAT LİSTESİ'!B:D,3,0)</f>
        <v>18</v>
      </c>
      <c r="E25" s="80">
        <f>C25*D25</f>
        <v>396</v>
      </c>
      <c r="F25" s="498"/>
      <c r="G25" s="500" t="s">
        <v>126</v>
      </c>
      <c r="H25" s="500"/>
      <c r="I25" s="500"/>
      <c r="J25" s="66">
        <f>VLOOKUP(G25,'FİYAT LİSTESİ'!G:I,3,0)</f>
        <v>700</v>
      </c>
      <c r="K25" s="67">
        <f>J25*C10/1000</f>
        <v>2548</v>
      </c>
      <c r="L25" s="223"/>
      <c r="M25" s="223"/>
      <c r="N25" s="223"/>
      <c r="O25" s="229"/>
      <c r="P25" s="229"/>
      <c r="Q25" s="231"/>
      <c r="R25" s="234"/>
      <c r="S25" s="222"/>
      <c r="T25" s="222"/>
      <c r="U25" s="222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223"/>
      <c r="AH25" s="223"/>
      <c r="AI25" s="223"/>
      <c r="AJ25" s="223"/>
      <c r="AK25" s="223"/>
      <c r="AL25" s="223"/>
      <c r="AM25" s="223"/>
      <c r="AN25" s="223"/>
      <c r="AO25" s="223"/>
      <c r="AP25" s="223"/>
      <c r="AQ25" s="223"/>
      <c r="AR25" s="223"/>
      <c r="AS25" s="223"/>
      <c r="AT25" s="223"/>
      <c r="AU25" s="223"/>
      <c r="AV25" s="223"/>
      <c r="AW25" s="223"/>
      <c r="AX25" s="223"/>
      <c r="AY25" s="223"/>
      <c r="AZ25" s="223"/>
      <c r="BA25" s="223"/>
      <c r="BB25" s="223"/>
      <c r="BC25" s="223"/>
      <c r="BD25" s="223"/>
      <c r="BE25" s="223"/>
      <c r="BF25" s="223"/>
      <c r="BG25" s="223"/>
      <c r="BH25" s="223"/>
      <c r="BI25" s="223"/>
      <c r="BJ25" s="223"/>
      <c r="BK25" s="223"/>
    </row>
    <row r="26" spans="1:63" s="226" customFormat="1" x14ac:dyDescent="0.25">
      <c r="A26" s="497"/>
      <c r="B26" s="241"/>
      <c r="C26" s="242"/>
      <c r="D26" s="62"/>
      <c r="E26" s="63"/>
      <c r="F26" s="498"/>
      <c r="G26" s="499" t="s">
        <v>257</v>
      </c>
      <c r="H26" s="499"/>
      <c r="I26" s="499"/>
      <c r="J26" s="66">
        <f>VLOOKUP(G26,'FİYAT LİSTESİ'!G:I,3,0)</f>
        <v>2900</v>
      </c>
      <c r="K26" s="67">
        <f>(C10/1000)*(J26/50)</f>
        <v>211.12</v>
      </c>
      <c r="L26" s="223"/>
      <c r="M26" s="223"/>
      <c r="N26" s="223"/>
      <c r="O26" s="229"/>
      <c r="P26" s="229"/>
      <c r="Q26" s="229"/>
      <c r="R26" s="222"/>
      <c r="S26" s="222"/>
      <c r="T26" s="222"/>
      <c r="U26" s="222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  <c r="AO26" s="223"/>
      <c r="AP26" s="223"/>
      <c r="AQ26" s="223"/>
      <c r="AR26" s="223"/>
      <c r="AS26" s="223"/>
      <c r="AT26" s="223"/>
      <c r="AU26" s="223"/>
      <c r="AV26" s="223"/>
      <c r="AW26" s="223"/>
      <c r="AX26" s="223"/>
      <c r="AY26" s="223"/>
      <c r="AZ26" s="223"/>
      <c r="BA26" s="223"/>
      <c r="BB26" s="223"/>
      <c r="BC26" s="223"/>
      <c r="BD26" s="223"/>
      <c r="BE26" s="223"/>
      <c r="BF26" s="223"/>
      <c r="BG26" s="223"/>
      <c r="BH26" s="223"/>
      <c r="BI26" s="223"/>
      <c r="BJ26" s="223"/>
      <c r="BK26" s="223"/>
    </row>
    <row r="27" spans="1:63" s="226" customFormat="1" ht="26.45" customHeight="1" x14ac:dyDescent="0.25">
      <c r="A27" s="497"/>
      <c r="B27" s="243" t="s">
        <v>18</v>
      </c>
      <c r="C27" s="244"/>
      <c r="D27" s="64"/>
      <c r="E27" s="65">
        <f>SUM(E25+E26)</f>
        <v>396</v>
      </c>
      <c r="F27" s="498"/>
      <c r="G27" s="501" t="s">
        <v>190</v>
      </c>
      <c r="H27" s="502"/>
      <c r="I27" s="503"/>
      <c r="J27" s="66">
        <f>VLOOKUP(G27,'FİYAT LİSTESİ'!G:I,3,0)</f>
        <v>200</v>
      </c>
      <c r="K27" s="117">
        <f>J27*C10/1000</f>
        <v>728</v>
      </c>
      <c r="L27" s="223"/>
      <c r="M27" s="223"/>
      <c r="N27" s="223"/>
      <c r="O27" s="229"/>
      <c r="P27" s="229"/>
      <c r="Q27" s="229"/>
      <c r="R27" s="222"/>
      <c r="S27" s="222"/>
      <c r="T27" s="222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  <c r="AL27" s="223"/>
      <c r="AM27" s="223"/>
      <c r="AN27" s="223"/>
      <c r="AO27" s="223"/>
      <c r="AP27" s="223"/>
      <c r="AQ27" s="223"/>
      <c r="AR27" s="223"/>
      <c r="AS27" s="223"/>
      <c r="AT27" s="223"/>
      <c r="AU27" s="223"/>
      <c r="AV27" s="223"/>
      <c r="AW27" s="223"/>
      <c r="AX27" s="223"/>
      <c r="AY27" s="223"/>
      <c r="AZ27" s="223"/>
      <c r="BA27" s="223"/>
      <c r="BB27" s="223"/>
      <c r="BC27" s="223"/>
      <c r="BD27" s="223"/>
      <c r="BE27" s="223"/>
      <c r="BF27" s="223"/>
      <c r="BG27" s="223"/>
      <c r="BH27" s="223"/>
      <c r="BI27" s="223"/>
      <c r="BJ27" s="223"/>
      <c r="BK27" s="223"/>
    </row>
    <row r="28" spans="1:63" s="226" customFormat="1" ht="30" customHeight="1" x14ac:dyDescent="0.25">
      <c r="A28" s="504"/>
      <c r="B28" s="504"/>
      <c r="C28" s="504"/>
      <c r="D28" s="504"/>
      <c r="E28" s="505"/>
      <c r="F28" s="498"/>
      <c r="G28" s="499" t="s">
        <v>127</v>
      </c>
      <c r="H28" s="499"/>
      <c r="I28" s="499"/>
      <c r="J28" s="147">
        <f>ROUNDUP(C7/1000,1)</f>
        <v>4</v>
      </c>
      <c r="K28" s="118"/>
      <c r="L28" s="223"/>
      <c r="M28" s="223"/>
      <c r="N28" s="223"/>
      <c r="O28" s="229"/>
      <c r="P28" s="229"/>
      <c r="Q28" s="229"/>
      <c r="R28" s="222"/>
      <c r="S28" s="222"/>
      <c r="T28" s="222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223"/>
      <c r="AS28" s="223"/>
      <c r="AT28" s="223"/>
      <c r="AU28" s="223"/>
      <c r="AV28" s="223"/>
      <c r="AW28" s="223"/>
      <c r="AX28" s="223"/>
      <c r="AY28" s="223"/>
      <c r="AZ28" s="223"/>
      <c r="BA28" s="223"/>
      <c r="BB28" s="223"/>
      <c r="BC28" s="223"/>
      <c r="BD28" s="223"/>
      <c r="BE28" s="223"/>
      <c r="BF28" s="223"/>
      <c r="BG28" s="223"/>
      <c r="BH28" s="223"/>
      <c r="BI28" s="223"/>
      <c r="BJ28" s="223"/>
      <c r="BK28" s="223"/>
    </row>
    <row r="29" spans="1:63" s="226" customFormat="1" ht="30" x14ac:dyDescent="0.25">
      <c r="A29" s="506" t="s">
        <v>111</v>
      </c>
      <c r="B29" s="101" t="s">
        <v>110</v>
      </c>
      <c r="C29" s="245" t="s">
        <v>104</v>
      </c>
      <c r="D29" s="245" t="s">
        <v>105</v>
      </c>
      <c r="E29" s="245" t="s">
        <v>0</v>
      </c>
      <c r="F29" s="498"/>
      <c r="G29" s="501" t="s">
        <v>18</v>
      </c>
      <c r="H29" s="502"/>
      <c r="I29" s="503"/>
      <c r="J29" s="246"/>
      <c r="K29" s="67">
        <f>SUM(K24:K28)</f>
        <v>4337.12</v>
      </c>
      <c r="L29" s="223"/>
      <c r="M29" s="223"/>
      <c r="N29" s="223"/>
      <c r="O29" s="229"/>
      <c r="P29" s="229"/>
      <c r="Q29" s="231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  <c r="AL29" s="223"/>
      <c r="AM29" s="223"/>
      <c r="AN29" s="223"/>
      <c r="AO29" s="223"/>
      <c r="AP29" s="223"/>
      <c r="AQ29" s="223"/>
      <c r="AR29" s="223"/>
      <c r="AS29" s="223"/>
      <c r="AT29" s="223"/>
      <c r="AU29" s="223"/>
      <c r="AV29" s="223"/>
      <c r="AW29" s="223"/>
      <c r="AX29" s="223"/>
      <c r="AY29" s="223"/>
      <c r="AZ29" s="223"/>
      <c r="BA29" s="223"/>
      <c r="BB29" s="223"/>
      <c r="BC29" s="223"/>
      <c r="BD29" s="223"/>
      <c r="BE29" s="223"/>
      <c r="BF29" s="223"/>
      <c r="BG29" s="223"/>
      <c r="BH29" s="223"/>
      <c r="BI29" s="223"/>
      <c r="BJ29" s="223"/>
      <c r="BK29" s="223"/>
    </row>
    <row r="30" spans="1:63" s="226" customFormat="1" ht="20.25" x14ac:dyDescent="0.25">
      <c r="A30" s="507"/>
      <c r="B30" s="217" t="s">
        <v>85</v>
      </c>
      <c r="C30" s="292">
        <v>25</v>
      </c>
      <c r="D30" s="103">
        <f>VLOOKUP(B30,'FİYAT LİSTESİ'!B:D,3,0)</f>
        <v>24</v>
      </c>
      <c r="E30" s="104">
        <f>D30*C30</f>
        <v>600</v>
      </c>
      <c r="F30" s="511"/>
      <c r="G30" s="512"/>
      <c r="H30" s="512"/>
      <c r="I30" s="512"/>
      <c r="J30" s="512"/>
      <c r="K30" s="513"/>
      <c r="L30" s="223"/>
      <c r="M30" s="223"/>
      <c r="N30" s="223"/>
      <c r="O30" s="229"/>
      <c r="P30" s="229"/>
      <c r="Q30" s="231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  <c r="AL30" s="223"/>
      <c r="AM30" s="223"/>
      <c r="AN30" s="223"/>
      <c r="AO30" s="223"/>
      <c r="AP30" s="223"/>
      <c r="AQ30" s="223"/>
      <c r="AR30" s="223"/>
      <c r="AS30" s="223"/>
      <c r="AT30" s="223"/>
      <c r="AU30" s="223"/>
      <c r="AV30" s="223"/>
      <c r="AW30" s="223"/>
      <c r="AX30" s="223"/>
      <c r="AY30" s="223"/>
      <c r="AZ30" s="223"/>
      <c r="BA30" s="223"/>
      <c r="BB30" s="223"/>
      <c r="BC30" s="223"/>
      <c r="BD30" s="223"/>
      <c r="BE30" s="223"/>
      <c r="BF30" s="223"/>
      <c r="BG30" s="223"/>
      <c r="BH30" s="223"/>
      <c r="BI30" s="223"/>
      <c r="BJ30" s="223"/>
      <c r="BK30" s="223"/>
    </row>
    <row r="31" spans="1:63" s="226" customFormat="1" ht="18" x14ac:dyDescent="0.25">
      <c r="A31" s="507"/>
      <c r="B31" s="247" t="s">
        <v>98</v>
      </c>
      <c r="C31" s="292">
        <v>15</v>
      </c>
      <c r="D31" s="103">
        <f>VLOOKUP(B31,'FİYAT LİSTESİ'!B:D,3,0)</f>
        <v>23</v>
      </c>
      <c r="E31" s="104">
        <f>D31*C31</f>
        <v>345</v>
      </c>
      <c r="F31" s="514" t="s">
        <v>128</v>
      </c>
      <c r="G31" s="515" t="s">
        <v>125</v>
      </c>
      <c r="H31" s="515"/>
      <c r="I31" s="515"/>
      <c r="J31" s="66">
        <f>VLOOKUP(G31,'FİYAT LİSTESİ'!G:I,3,0)</f>
        <v>850</v>
      </c>
      <c r="K31" s="142">
        <f>J31</f>
        <v>850</v>
      </c>
      <c r="L31" s="223"/>
      <c r="M31" s="223"/>
      <c r="N31" s="223"/>
      <c r="O31" s="231"/>
      <c r="P31" s="231"/>
      <c r="Q31" s="231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  <c r="AL31" s="223"/>
      <c r="AM31" s="223"/>
      <c r="AN31" s="223"/>
      <c r="AO31" s="223"/>
      <c r="AP31" s="223"/>
      <c r="AQ31" s="223"/>
      <c r="AR31" s="223"/>
      <c r="AS31" s="223"/>
      <c r="AT31" s="223"/>
      <c r="AU31" s="223"/>
      <c r="AV31" s="223"/>
      <c r="AW31" s="223"/>
      <c r="AX31" s="223"/>
      <c r="AY31" s="223"/>
      <c r="AZ31" s="223"/>
      <c r="BA31" s="223"/>
      <c r="BB31" s="223"/>
      <c r="BC31" s="223"/>
      <c r="BD31" s="223"/>
      <c r="BE31" s="223"/>
      <c r="BF31" s="223"/>
      <c r="BG31" s="223"/>
      <c r="BH31" s="223"/>
      <c r="BI31" s="223"/>
      <c r="BJ31" s="223"/>
      <c r="BK31" s="223"/>
    </row>
    <row r="32" spans="1:63" s="226" customFormat="1" ht="18" x14ac:dyDescent="0.25">
      <c r="A32" s="507"/>
      <c r="B32" s="247" t="s">
        <v>112</v>
      </c>
      <c r="C32" s="292">
        <v>1</v>
      </c>
      <c r="D32" s="103">
        <f>VLOOKUP(B32,'FİYAT LİSTESİ'!B:D,3,0)</f>
        <v>450</v>
      </c>
      <c r="E32" s="104">
        <f>IF(C32="YOK",0,D32*C32)</f>
        <v>450</v>
      </c>
      <c r="F32" s="514"/>
      <c r="G32" s="515" t="s">
        <v>191</v>
      </c>
      <c r="H32" s="515"/>
      <c r="I32" s="515"/>
      <c r="J32" s="66">
        <f>VLOOKUP(G32,'FİYAT LİSTESİ'!G:I,3,0)</f>
        <v>200</v>
      </c>
      <c r="K32" s="142">
        <f>J32*C11/1000</f>
        <v>700</v>
      </c>
      <c r="L32" s="223"/>
      <c r="M32" s="223"/>
      <c r="N32" s="223"/>
      <c r="O32" s="231"/>
      <c r="P32" s="231"/>
      <c r="Q32" s="231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  <c r="AL32" s="223"/>
      <c r="AM32" s="223"/>
      <c r="AN32" s="223"/>
      <c r="AO32" s="223"/>
      <c r="AP32" s="223"/>
      <c r="AQ32" s="223"/>
      <c r="AR32" s="223"/>
      <c r="AS32" s="223"/>
      <c r="AT32" s="223"/>
      <c r="AU32" s="223"/>
      <c r="AV32" s="223"/>
      <c r="AW32" s="223"/>
      <c r="AX32" s="223"/>
      <c r="AY32" s="223"/>
      <c r="AZ32" s="223"/>
      <c r="BA32" s="223"/>
      <c r="BB32" s="223"/>
      <c r="BC32" s="223"/>
      <c r="BD32" s="223"/>
      <c r="BE32" s="223"/>
      <c r="BF32" s="223"/>
      <c r="BG32" s="223"/>
      <c r="BH32" s="223"/>
      <c r="BI32" s="223"/>
      <c r="BJ32" s="223"/>
      <c r="BK32" s="223"/>
    </row>
    <row r="33" spans="1:63" s="226" customFormat="1" ht="18" x14ac:dyDescent="0.25">
      <c r="A33" s="507"/>
      <c r="B33" s="248"/>
      <c r="C33" s="326" t="s">
        <v>117</v>
      </c>
      <c r="D33" s="103" t="s">
        <v>224</v>
      </c>
      <c r="E33" s="104" t="s">
        <v>0</v>
      </c>
      <c r="F33" s="514"/>
      <c r="G33" s="515" t="s">
        <v>257</v>
      </c>
      <c r="H33" s="515"/>
      <c r="I33" s="515"/>
      <c r="J33" s="66">
        <f>VLOOKUP(G33,'FİYAT LİSTESİ'!G:I,3,0)</f>
        <v>2900</v>
      </c>
      <c r="K33" s="142">
        <f>(C11/1000)*(J33/50)</f>
        <v>203</v>
      </c>
      <c r="L33" s="231"/>
      <c r="M33" s="231"/>
      <c r="N33" s="231"/>
      <c r="O33" s="231"/>
      <c r="P33" s="231"/>
      <c r="Q33" s="231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3"/>
      <c r="AK33" s="223"/>
      <c r="AL33" s="223"/>
      <c r="AM33" s="223"/>
      <c r="AN33" s="223"/>
      <c r="AO33" s="223"/>
      <c r="AP33" s="223"/>
      <c r="AQ33" s="223"/>
      <c r="AR33" s="223"/>
      <c r="AS33" s="223"/>
      <c r="AT33" s="223"/>
      <c r="AU33" s="223"/>
      <c r="AV33" s="223"/>
      <c r="AW33" s="223"/>
      <c r="AX33" s="223"/>
      <c r="AY33" s="223"/>
      <c r="AZ33" s="223"/>
      <c r="BA33" s="223"/>
      <c r="BB33" s="223"/>
      <c r="BC33" s="223"/>
      <c r="BD33" s="223"/>
      <c r="BE33" s="223"/>
      <c r="BF33" s="223"/>
      <c r="BG33" s="223"/>
      <c r="BH33" s="223"/>
      <c r="BI33" s="223"/>
      <c r="BJ33" s="223"/>
      <c r="BK33" s="223"/>
    </row>
    <row r="34" spans="1:63" s="226" customFormat="1" ht="18" x14ac:dyDescent="0.25">
      <c r="A34" s="507"/>
      <c r="B34" s="249" t="s">
        <v>86</v>
      </c>
      <c r="C34" s="293">
        <v>1</v>
      </c>
      <c r="D34" s="103">
        <f>VLOOKUP(B34,'FİYAT LİSTESİ'!B:D,3,0)</f>
        <v>55</v>
      </c>
      <c r="E34" s="104">
        <f>IF(C34="YOK",0,D34*C34)</f>
        <v>55</v>
      </c>
      <c r="F34" s="514"/>
      <c r="G34" s="515" t="s">
        <v>97</v>
      </c>
      <c r="H34" s="515"/>
      <c r="I34" s="515"/>
      <c r="J34" s="66">
        <f>VLOOKUP(G34,'FİYAT LİSTESİ'!G:I,3,0)</f>
        <v>50</v>
      </c>
      <c r="K34" s="142">
        <f>J34*C11/1000</f>
        <v>175</v>
      </c>
      <c r="L34" s="223"/>
      <c r="M34" s="223"/>
      <c r="N34" s="223"/>
      <c r="O34" s="231"/>
      <c r="P34" s="231"/>
      <c r="Q34" s="231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3"/>
      <c r="AO34" s="223"/>
      <c r="AP34" s="223"/>
      <c r="AQ34" s="223"/>
      <c r="AR34" s="223"/>
      <c r="AS34" s="223"/>
      <c r="AT34" s="223"/>
      <c r="AU34" s="223"/>
      <c r="AV34" s="223"/>
      <c r="AW34" s="223"/>
      <c r="AX34" s="223"/>
      <c r="AY34" s="223"/>
      <c r="AZ34" s="223"/>
      <c r="BA34" s="223"/>
      <c r="BB34" s="223"/>
      <c r="BC34" s="223"/>
      <c r="BD34" s="223"/>
      <c r="BE34" s="223"/>
      <c r="BF34" s="223"/>
      <c r="BG34" s="223"/>
      <c r="BH34" s="223"/>
      <c r="BI34" s="223"/>
      <c r="BJ34" s="223"/>
      <c r="BK34" s="223"/>
    </row>
    <row r="35" spans="1:63" s="226" customFormat="1" ht="18" x14ac:dyDescent="0.25">
      <c r="A35" s="507"/>
      <c r="B35" s="217" t="s">
        <v>114</v>
      </c>
      <c r="C35" s="292">
        <v>1</v>
      </c>
      <c r="D35" s="103">
        <f>VLOOKUP(B35,'FİYAT LİSTESİ'!B:D,3,0)</f>
        <v>55</v>
      </c>
      <c r="E35" s="104">
        <f>IF(C35="YOK",0,C35*D35)</f>
        <v>55</v>
      </c>
      <c r="F35" s="514"/>
      <c r="G35" s="515" t="s">
        <v>129</v>
      </c>
      <c r="H35" s="515"/>
      <c r="I35" s="515"/>
      <c r="J35" s="66">
        <f>VLOOKUP(G35,'FİYAT LİSTESİ'!G:I,3,0)</f>
        <v>35</v>
      </c>
      <c r="K35" s="376">
        <f>J35*J36*C11/1000</f>
        <v>183.75</v>
      </c>
      <c r="L35" s="223"/>
      <c r="M35" s="223"/>
      <c r="N35" s="223"/>
      <c r="O35" s="231"/>
      <c r="P35" s="231"/>
      <c r="Q35" s="231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3"/>
      <c r="AO35" s="223"/>
      <c r="AP35" s="223"/>
      <c r="AQ35" s="223"/>
      <c r="AR35" s="223"/>
      <c r="AS35" s="223"/>
      <c r="AT35" s="223"/>
      <c r="AU35" s="223"/>
      <c r="AV35" s="223"/>
      <c r="AW35" s="223"/>
      <c r="AX35" s="223"/>
      <c r="AY35" s="223"/>
      <c r="AZ35" s="223"/>
      <c r="BA35" s="223"/>
      <c r="BB35" s="223"/>
      <c r="BC35" s="223"/>
      <c r="BD35" s="223"/>
      <c r="BE35" s="223"/>
      <c r="BF35" s="223"/>
      <c r="BG35" s="223"/>
      <c r="BH35" s="223"/>
      <c r="BI35" s="223"/>
      <c r="BJ35" s="223"/>
      <c r="BK35" s="223"/>
    </row>
    <row r="36" spans="1:63" s="226" customFormat="1" ht="18" x14ac:dyDescent="0.25">
      <c r="A36" s="507"/>
      <c r="B36" s="247" t="s">
        <v>115</v>
      </c>
      <c r="C36" s="292">
        <v>2</v>
      </c>
      <c r="D36" s="103">
        <f>VLOOKUP(B36,'FİYAT LİSTESİ'!B:D,3,0)</f>
        <v>200</v>
      </c>
      <c r="E36" s="104">
        <f>IF(C36="YOK",0,D36*C36)</f>
        <v>400</v>
      </c>
      <c r="F36" s="514"/>
      <c r="G36" s="515" t="s">
        <v>131</v>
      </c>
      <c r="H36" s="515"/>
      <c r="I36" s="515"/>
      <c r="J36" s="66">
        <f>VLOOKUP(G36,'FİYAT LİSTESİ'!G:I,3,0)</f>
        <v>1.5</v>
      </c>
      <c r="K36" s="376"/>
      <c r="L36" s="223"/>
      <c r="M36" s="223"/>
      <c r="N36" s="223"/>
      <c r="O36" s="231"/>
      <c r="P36" s="231"/>
      <c r="Q36" s="231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223"/>
      <c r="AR36" s="223"/>
      <c r="AS36" s="223"/>
      <c r="AT36" s="223"/>
      <c r="AU36" s="223"/>
      <c r="AV36" s="223"/>
      <c r="AW36" s="223"/>
      <c r="AX36" s="223"/>
      <c r="AY36" s="223"/>
      <c r="AZ36" s="223"/>
      <c r="BA36" s="223"/>
      <c r="BB36" s="223"/>
      <c r="BC36" s="223"/>
      <c r="BD36" s="223"/>
      <c r="BE36" s="223"/>
      <c r="BF36" s="223"/>
      <c r="BG36" s="223"/>
      <c r="BH36" s="223"/>
      <c r="BI36" s="223"/>
      <c r="BJ36" s="223"/>
      <c r="BK36" s="223"/>
    </row>
    <row r="37" spans="1:63" s="226" customFormat="1" ht="15.75" customHeight="1" x14ac:dyDescent="0.25">
      <c r="A37" s="507"/>
      <c r="B37" s="217" t="s">
        <v>87</v>
      </c>
      <c r="C37" s="292">
        <v>2</v>
      </c>
      <c r="D37" s="103">
        <f>VLOOKUP(B37,'FİYAT LİSTESİ'!B:D,3,0)</f>
        <v>250</v>
      </c>
      <c r="E37" s="104">
        <f>IF(C37="YOK",0,D37*C37)</f>
        <v>500</v>
      </c>
      <c r="F37" s="514"/>
      <c r="G37" s="516" t="s">
        <v>130</v>
      </c>
      <c r="H37" s="516"/>
      <c r="I37" s="516"/>
      <c r="J37" s="378">
        <f>VLOOKUP(G37,'FİYAT LİSTESİ'!G:I,3,0)</f>
        <v>150</v>
      </c>
      <c r="K37" s="376">
        <f>J37*C11/1000</f>
        <v>525</v>
      </c>
      <c r="L37" s="223"/>
      <c r="M37" s="223"/>
      <c r="N37" s="223"/>
      <c r="O37" s="231"/>
      <c r="P37" s="231"/>
      <c r="Q37" s="231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  <c r="AZ37" s="223"/>
      <c r="BA37" s="223"/>
      <c r="BB37" s="223"/>
      <c r="BC37" s="223"/>
      <c r="BD37" s="223"/>
      <c r="BE37" s="223"/>
      <c r="BF37" s="223"/>
      <c r="BG37" s="223"/>
      <c r="BH37" s="223"/>
      <c r="BI37" s="223"/>
      <c r="BJ37" s="223"/>
      <c r="BK37" s="223"/>
    </row>
    <row r="38" spans="1:63" s="226" customFormat="1" x14ac:dyDescent="0.25">
      <c r="A38" s="507"/>
      <c r="B38" s="508" t="s">
        <v>18</v>
      </c>
      <c r="C38" s="509"/>
      <c r="D38" s="510"/>
      <c r="E38" s="220">
        <f>SUM(E34:E37)+SUM(E30:E32)</f>
        <v>2405</v>
      </c>
      <c r="F38" s="514"/>
      <c r="G38" s="516"/>
      <c r="H38" s="516"/>
      <c r="I38" s="516"/>
      <c r="J38" s="379"/>
      <c r="K38" s="376"/>
      <c r="L38" s="223"/>
      <c r="M38" s="223"/>
      <c r="N38" s="223"/>
      <c r="O38" s="231"/>
      <c r="P38" s="231"/>
      <c r="Q38" s="231"/>
      <c r="R38" s="222"/>
      <c r="S38" s="222"/>
      <c r="T38" s="222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3"/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  <c r="AZ38" s="223"/>
      <c r="BA38" s="223"/>
      <c r="BB38" s="223"/>
      <c r="BC38" s="223"/>
      <c r="BD38" s="223"/>
      <c r="BE38" s="223"/>
      <c r="BF38" s="223"/>
      <c r="BG38" s="223"/>
      <c r="BH38" s="223"/>
      <c r="BI38" s="223"/>
      <c r="BJ38" s="223"/>
      <c r="BK38" s="223"/>
    </row>
    <row r="39" spans="1:63" s="226" customFormat="1" ht="23.25" x14ac:dyDescent="0.25">
      <c r="A39" s="517" t="s">
        <v>119</v>
      </c>
      <c r="B39" s="517"/>
      <c r="C39" s="517"/>
      <c r="D39" s="517"/>
      <c r="E39" s="68">
        <f>E16+E22+E27+E38</f>
        <v>5331</v>
      </c>
      <c r="F39" s="514"/>
      <c r="G39" s="515" t="s">
        <v>18</v>
      </c>
      <c r="H39" s="515"/>
      <c r="I39" s="515"/>
      <c r="J39" s="515"/>
      <c r="K39" s="142">
        <f>SUM(K31:K38)</f>
        <v>2636.75</v>
      </c>
      <c r="L39" s="223"/>
      <c r="M39" s="223"/>
      <c r="N39" s="223"/>
      <c r="O39" s="231"/>
      <c r="P39" s="231"/>
      <c r="Q39" s="231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  <c r="AL39" s="223"/>
      <c r="AM39" s="223"/>
      <c r="AN39" s="223"/>
      <c r="AO39" s="223"/>
      <c r="AP39" s="223"/>
      <c r="AQ39" s="223"/>
      <c r="AR39" s="223"/>
      <c r="AS39" s="223"/>
      <c r="AT39" s="223"/>
      <c r="AU39" s="223"/>
      <c r="AV39" s="223"/>
      <c r="AW39" s="223"/>
      <c r="AX39" s="223"/>
      <c r="AY39" s="223"/>
      <c r="AZ39" s="223"/>
      <c r="BA39" s="223"/>
      <c r="BB39" s="223"/>
      <c r="BC39" s="223"/>
      <c r="BD39" s="223"/>
      <c r="BE39" s="223"/>
      <c r="BF39" s="223"/>
      <c r="BG39" s="223"/>
      <c r="BH39" s="223"/>
      <c r="BI39" s="223"/>
      <c r="BJ39" s="223"/>
      <c r="BK39" s="223"/>
    </row>
    <row r="40" spans="1:63" s="226" customFormat="1" ht="20.25" x14ac:dyDescent="0.25">
      <c r="A40" s="223"/>
      <c r="B40" s="223"/>
      <c r="C40" s="223"/>
      <c r="D40" s="223"/>
      <c r="E40" s="223"/>
      <c r="F40" s="519"/>
      <c r="G40" s="519"/>
      <c r="H40" s="519"/>
      <c r="I40" s="519"/>
      <c r="J40" s="519"/>
      <c r="K40" s="519"/>
      <c r="L40" s="223"/>
      <c r="M40" s="223"/>
      <c r="N40" s="223"/>
      <c r="O40" s="229"/>
      <c r="P40" s="229"/>
      <c r="Q40" s="231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3"/>
      <c r="AM40" s="223"/>
      <c r="AN40" s="223"/>
      <c r="AO40" s="223"/>
      <c r="AP40" s="223"/>
      <c r="AQ40" s="223"/>
      <c r="AR40" s="223"/>
      <c r="AS40" s="223"/>
      <c r="AT40" s="223"/>
      <c r="AU40" s="223"/>
      <c r="AV40" s="223"/>
      <c r="AW40" s="223"/>
      <c r="AX40" s="223"/>
      <c r="AY40" s="223"/>
      <c r="AZ40" s="223"/>
      <c r="BA40" s="223"/>
      <c r="BB40" s="223"/>
      <c r="BC40" s="223"/>
      <c r="BD40" s="223"/>
      <c r="BE40" s="223"/>
      <c r="BF40" s="223"/>
      <c r="BG40" s="223"/>
      <c r="BH40" s="223"/>
      <c r="BI40" s="223"/>
      <c r="BJ40" s="223"/>
      <c r="BK40" s="223"/>
    </row>
    <row r="41" spans="1:63" s="223" customFormat="1" x14ac:dyDescent="0.25">
      <c r="A41" s="526" t="s">
        <v>120</v>
      </c>
      <c r="B41" s="527" t="s">
        <v>90</v>
      </c>
      <c r="C41" s="528"/>
      <c r="D41" s="529"/>
      <c r="E41" s="135">
        <f>VLOOKUP(B41,'FİYAT LİSTESİ'!G:I,3,0)</f>
        <v>317</v>
      </c>
      <c r="F41" s="521" t="s">
        <v>204</v>
      </c>
      <c r="G41" s="523" t="s">
        <v>122</v>
      </c>
      <c r="H41" s="524"/>
      <c r="I41" s="524"/>
      <c r="J41" s="525"/>
      <c r="K41" s="276" t="s">
        <v>116</v>
      </c>
      <c r="O41" s="231"/>
      <c r="P41" s="231"/>
      <c r="Q41" s="231"/>
      <c r="R41" s="222"/>
      <c r="S41" s="222"/>
      <c r="T41" s="222"/>
    </row>
    <row r="42" spans="1:63" s="223" customFormat="1" x14ac:dyDescent="0.25">
      <c r="A42" s="526"/>
      <c r="B42" s="527" t="s">
        <v>91</v>
      </c>
      <c r="C42" s="528"/>
      <c r="D42" s="529"/>
      <c r="E42" s="135">
        <f>VLOOKUP(B42,'FİYAT LİSTESİ'!G:I,3,0)</f>
        <v>317</v>
      </c>
      <c r="F42" s="521"/>
      <c r="G42" s="523" t="s">
        <v>230</v>
      </c>
      <c r="H42" s="524"/>
      <c r="I42" s="524"/>
      <c r="J42" s="525"/>
      <c r="K42" s="99">
        <f>VLOOKUP(G42,'FİYAT LİSTESİ'!G:I,3,0)</f>
        <v>268</v>
      </c>
      <c r="O42" s="231"/>
      <c r="P42" s="231"/>
      <c r="Q42" s="231"/>
      <c r="R42" s="255"/>
      <c r="S42" s="255"/>
      <c r="T42" s="222"/>
    </row>
    <row r="43" spans="1:63" s="223" customFormat="1" x14ac:dyDescent="0.25">
      <c r="A43" s="526"/>
      <c r="B43" s="530" t="s">
        <v>92</v>
      </c>
      <c r="C43" s="531"/>
      <c r="D43" s="532"/>
      <c r="E43" s="135">
        <f>VLOOKUP(B43,'FİYAT LİSTESİ'!G:I,3,0)</f>
        <v>122</v>
      </c>
      <c r="F43" s="521"/>
      <c r="G43" s="522"/>
      <c r="H43" s="522"/>
      <c r="I43" s="254"/>
      <c r="J43" s="99"/>
      <c r="K43" s="99"/>
      <c r="O43" s="229"/>
      <c r="P43" s="229"/>
      <c r="Q43" s="231"/>
      <c r="R43" s="222"/>
      <c r="S43" s="222"/>
      <c r="T43" s="222"/>
    </row>
    <row r="44" spans="1:63" s="223" customFormat="1" x14ac:dyDescent="0.25">
      <c r="A44" s="526"/>
      <c r="B44" s="256" t="s">
        <v>133</v>
      </c>
      <c r="C44" s="257"/>
      <c r="D44" s="258"/>
      <c r="E44" s="135">
        <f>SUM(E41:E43)</f>
        <v>756</v>
      </c>
      <c r="F44" s="521"/>
      <c r="G44" s="523" t="s">
        <v>18</v>
      </c>
      <c r="H44" s="524"/>
      <c r="I44" s="524"/>
      <c r="J44" s="525"/>
      <c r="K44" s="99">
        <f>SUM(K42:K43)</f>
        <v>268</v>
      </c>
      <c r="O44" s="259"/>
      <c r="P44" s="229"/>
      <c r="Q44" s="231"/>
      <c r="R44" s="222"/>
      <c r="S44" s="222"/>
      <c r="T44" s="222"/>
    </row>
    <row r="45" spans="1:63" s="223" customFormat="1" x14ac:dyDescent="0.25">
      <c r="A45" s="520"/>
      <c r="B45" s="520"/>
      <c r="C45" s="520"/>
      <c r="D45" s="520"/>
      <c r="E45" s="222"/>
      <c r="F45" s="222"/>
      <c r="G45" s="222"/>
      <c r="L45" s="222"/>
      <c r="M45" s="222"/>
      <c r="N45" s="222"/>
      <c r="O45" s="222"/>
      <c r="P45" s="222"/>
      <c r="Q45" s="222"/>
      <c r="R45" s="222"/>
      <c r="S45" s="222"/>
      <c r="T45" s="222"/>
    </row>
    <row r="46" spans="1:63" s="223" customFormat="1" x14ac:dyDescent="0.25">
      <c r="A46" s="222"/>
      <c r="B46" s="222"/>
      <c r="C46" s="222"/>
      <c r="D46" s="222"/>
      <c r="E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</row>
    <row r="47" spans="1:63" s="223" customFormat="1" x14ac:dyDescent="0.25">
      <c r="A47" s="222"/>
      <c r="B47" s="255"/>
      <c r="C47" s="255"/>
      <c r="D47" s="255"/>
      <c r="E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</row>
    <row r="48" spans="1:63" s="223" customFormat="1" x14ac:dyDescent="0.25">
      <c r="A48" s="222"/>
      <c r="B48" s="222"/>
      <c r="C48" s="222"/>
      <c r="D48" s="222"/>
      <c r="E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</row>
    <row r="49" spans="1:20" s="223" customFormat="1" x14ac:dyDescent="0.25">
      <c r="A49" s="222"/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</row>
    <row r="50" spans="1:20" s="223" customFormat="1" x14ac:dyDescent="0.25">
      <c r="A50" s="222"/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</row>
    <row r="51" spans="1:20" s="223" customFormat="1" x14ac:dyDescent="0.25">
      <c r="A51" s="222"/>
      <c r="B51" s="222"/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</row>
    <row r="52" spans="1:20" s="223" customFormat="1" x14ac:dyDescent="0.25">
      <c r="A52" s="222"/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</row>
    <row r="53" spans="1:20" s="223" customFormat="1" x14ac:dyDescent="0.25">
      <c r="A53" s="222"/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</row>
    <row r="54" spans="1:20" s="223" customFormat="1" x14ac:dyDescent="0.25">
      <c r="A54" s="222"/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</row>
    <row r="55" spans="1:20" s="223" customFormat="1" x14ac:dyDescent="0.25">
      <c r="A55" s="222"/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</row>
    <row r="56" spans="1:20" s="223" customFormat="1" x14ac:dyDescent="0.25">
      <c r="A56" s="222"/>
      <c r="B56" s="222"/>
      <c r="C56" s="222"/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</row>
    <row r="57" spans="1:20" s="223" customFormat="1" x14ac:dyDescent="0.25">
      <c r="A57" s="222"/>
      <c r="B57" s="222"/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</row>
    <row r="58" spans="1:20" s="223" customFormat="1" x14ac:dyDescent="0.25">
      <c r="A58" s="222"/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</row>
    <row r="59" spans="1:20" s="223" customFormat="1" x14ac:dyDescent="0.25">
      <c r="A59" s="222"/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</row>
    <row r="60" spans="1:20" s="223" customFormat="1" x14ac:dyDescent="0.25">
      <c r="A60" s="222"/>
      <c r="B60" s="222"/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</row>
    <row r="61" spans="1:20" s="223" customFormat="1" x14ac:dyDescent="0.25">
      <c r="A61" s="222"/>
      <c r="B61" s="222"/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</row>
    <row r="62" spans="1:20" s="223" customFormat="1" x14ac:dyDescent="0.25">
      <c r="A62" s="222"/>
      <c r="B62" s="222"/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</row>
    <row r="63" spans="1:20" s="223" customFormat="1" x14ac:dyDescent="0.25">
      <c r="A63" s="222"/>
      <c r="B63" s="222"/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</row>
    <row r="64" spans="1:20" s="223" customFormat="1" x14ac:dyDescent="0.25">
      <c r="A64" s="222"/>
      <c r="B64" s="222"/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</row>
    <row r="65" spans="1:20" s="223" customFormat="1" x14ac:dyDescent="0.25">
      <c r="A65" s="222"/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</row>
    <row r="66" spans="1:20" s="223" customFormat="1" x14ac:dyDescent="0.25">
      <c r="A66" s="222"/>
      <c r="B66" s="222"/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</row>
    <row r="67" spans="1:20" s="223" customFormat="1" x14ac:dyDescent="0.25">
      <c r="A67" s="222"/>
      <c r="B67" s="222"/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</row>
    <row r="68" spans="1:20" s="223" customFormat="1" x14ac:dyDescent="0.25">
      <c r="A68" s="222"/>
      <c r="B68" s="222"/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</row>
    <row r="69" spans="1:20" s="223" customFormat="1" x14ac:dyDescent="0.25">
      <c r="A69" s="222"/>
      <c r="B69" s="222"/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</row>
    <row r="70" spans="1:20" s="223" customFormat="1" x14ac:dyDescent="0.25">
      <c r="A70" s="222"/>
      <c r="B70" s="222"/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</row>
    <row r="71" spans="1:20" s="223" customFormat="1" x14ac:dyDescent="0.25">
      <c r="A71" s="222"/>
      <c r="B71" s="222"/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</row>
    <row r="72" spans="1:20" s="223" customFormat="1" x14ac:dyDescent="0.25">
      <c r="A72" s="222"/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</row>
    <row r="73" spans="1:20" s="223" customFormat="1" x14ac:dyDescent="0.25">
      <c r="A73" s="222"/>
      <c r="B73" s="222"/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</row>
    <row r="74" spans="1:20" s="223" customFormat="1" x14ac:dyDescent="0.25">
      <c r="A74" s="222"/>
      <c r="B74" s="222"/>
      <c r="C74" s="222"/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</row>
    <row r="75" spans="1:20" s="223" customFormat="1" x14ac:dyDescent="0.25">
      <c r="A75" s="222"/>
      <c r="B75" s="222"/>
      <c r="C75" s="222"/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</row>
    <row r="76" spans="1:20" s="223" customFormat="1" x14ac:dyDescent="0.25">
      <c r="A76" s="222"/>
      <c r="B76" s="222"/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</row>
    <row r="77" spans="1:20" s="223" customFormat="1" x14ac:dyDescent="0.25">
      <c r="A77" s="222"/>
      <c r="B77" s="222"/>
      <c r="C77" s="222"/>
      <c r="D77" s="222"/>
      <c r="E77" s="222"/>
      <c r="F77" s="222"/>
      <c r="G77" s="222"/>
      <c r="H77" s="222"/>
      <c r="I77" s="222"/>
      <c r="J77" s="260"/>
      <c r="K77" s="222"/>
      <c r="L77" s="222"/>
      <c r="M77" s="222"/>
      <c r="N77" s="222"/>
      <c r="O77" s="222"/>
      <c r="P77" s="222"/>
      <c r="Q77" s="222"/>
      <c r="R77" s="222"/>
      <c r="S77" s="222"/>
      <c r="T77" s="222"/>
    </row>
    <row r="78" spans="1:20" s="223" customFormat="1" x14ac:dyDescent="0.25">
      <c r="A78" s="222"/>
      <c r="B78" s="222"/>
      <c r="C78" s="222"/>
      <c r="D78" s="222"/>
      <c r="E78" s="222"/>
      <c r="F78" s="222"/>
      <c r="G78" s="260"/>
      <c r="H78" s="260"/>
      <c r="I78" s="260"/>
      <c r="J78" s="260"/>
      <c r="K78" s="222"/>
      <c r="L78" s="222"/>
      <c r="M78" s="222"/>
      <c r="N78" s="222"/>
      <c r="O78" s="222"/>
      <c r="P78" s="222"/>
      <c r="Q78" s="222"/>
      <c r="R78" s="222"/>
      <c r="S78" s="222"/>
      <c r="T78" s="222"/>
    </row>
    <row r="79" spans="1:20" s="223" customFormat="1" x14ac:dyDescent="0.25">
      <c r="A79" s="222"/>
      <c r="B79" s="222"/>
      <c r="C79" s="222"/>
      <c r="D79" s="222"/>
      <c r="E79" s="222"/>
      <c r="F79" s="222"/>
      <c r="G79" s="260"/>
      <c r="H79" s="260"/>
      <c r="I79" s="260"/>
      <c r="J79" s="260"/>
      <c r="K79" s="222"/>
      <c r="L79" s="222"/>
      <c r="M79" s="222"/>
      <c r="N79" s="222"/>
      <c r="O79" s="222"/>
      <c r="P79" s="222"/>
      <c r="Q79" s="222"/>
      <c r="R79" s="222"/>
      <c r="S79" s="222"/>
      <c r="T79" s="222"/>
    </row>
    <row r="80" spans="1:20" s="223" customFormat="1" x14ac:dyDescent="0.25">
      <c r="A80" s="222"/>
      <c r="B80" s="222"/>
      <c r="C80" s="222"/>
      <c r="D80" s="222"/>
      <c r="E80" s="222"/>
      <c r="F80" s="261"/>
      <c r="G80" s="260"/>
      <c r="H80" s="260"/>
      <c r="I80" s="260"/>
      <c r="J80" s="260"/>
      <c r="K80" s="222"/>
      <c r="L80" s="222"/>
      <c r="M80" s="222"/>
      <c r="N80" s="222"/>
      <c r="O80" s="222"/>
      <c r="P80" s="222"/>
      <c r="Q80" s="222"/>
      <c r="R80" s="222"/>
      <c r="S80" s="222"/>
      <c r="T80" s="222"/>
    </row>
    <row r="81" spans="1:20" s="223" customFormat="1" x14ac:dyDescent="0.25">
      <c r="A81" s="222"/>
      <c r="B81" s="222"/>
      <c r="C81" s="222"/>
      <c r="D81" s="222"/>
      <c r="E81" s="222"/>
      <c r="F81" s="261"/>
      <c r="G81" s="260"/>
      <c r="H81" s="260"/>
      <c r="I81" s="260"/>
      <c r="J81" s="260"/>
      <c r="K81" s="222"/>
      <c r="L81" s="222"/>
      <c r="M81" s="222"/>
      <c r="N81" s="222"/>
      <c r="O81" s="222"/>
      <c r="P81" s="222"/>
      <c r="Q81" s="222"/>
      <c r="R81" s="222"/>
      <c r="S81" s="222"/>
      <c r="T81" s="222"/>
    </row>
    <row r="82" spans="1:20" x14ac:dyDescent="0.25">
      <c r="A82" s="222"/>
      <c r="B82" s="222"/>
      <c r="C82" s="222"/>
      <c r="D82" s="222"/>
      <c r="E82" s="222"/>
    </row>
    <row r="83" spans="1:20" x14ac:dyDescent="0.25">
      <c r="A83" s="222"/>
      <c r="B83" s="222"/>
      <c r="C83" s="222"/>
      <c r="D83" s="222"/>
      <c r="E83" s="222"/>
    </row>
    <row r="84" spans="1:20" x14ac:dyDescent="0.25">
      <c r="A84" s="222"/>
      <c r="B84" s="222"/>
      <c r="C84" s="222"/>
      <c r="D84" s="222"/>
      <c r="E84" s="222"/>
    </row>
    <row r="85" spans="1:20" x14ac:dyDescent="0.25">
      <c r="A85" s="222"/>
      <c r="B85" s="222"/>
      <c r="C85" s="222"/>
      <c r="D85" s="222"/>
      <c r="E85" s="222"/>
    </row>
  </sheetData>
  <sheetProtection algorithmName="SHA-512" hashValue="Bj7TAXXXittv5FU+EObyPw6md+rzTLgGyMegdEtbwRpvIlGW6gIx6opktXbEr3owsTMfxqRFzRbl5bkkEI9xwg==" saltValue="FBf/Ue6s3YC8ZWsHgenYZg==" spinCount="100000" sheet="1" objects="1" scenarios="1"/>
  <mergeCells count="79">
    <mergeCell ref="G39:J39"/>
    <mergeCell ref="A39:D39"/>
    <mergeCell ref="F40:K40"/>
    <mergeCell ref="A41:A44"/>
    <mergeCell ref="B41:D41"/>
    <mergeCell ref="B42:D42"/>
    <mergeCell ref="B43:D43"/>
    <mergeCell ref="A45:D45"/>
    <mergeCell ref="F41:F44"/>
    <mergeCell ref="G41:J41"/>
    <mergeCell ref="G42:J42"/>
    <mergeCell ref="G43:H43"/>
    <mergeCell ref="G44:J44"/>
    <mergeCell ref="A1:K1"/>
    <mergeCell ref="A17:B22"/>
    <mergeCell ref="C21:D21"/>
    <mergeCell ref="A29:A38"/>
    <mergeCell ref="F17:F22"/>
    <mergeCell ref="G21:I21"/>
    <mergeCell ref="J37:J38"/>
    <mergeCell ref="K37:K38"/>
    <mergeCell ref="B38:D38"/>
    <mergeCell ref="F30:K30"/>
    <mergeCell ref="F31:F39"/>
    <mergeCell ref="G31:I31"/>
    <mergeCell ref="G32:I32"/>
    <mergeCell ref="G33:I33"/>
    <mergeCell ref="G34:I34"/>
    <mergeCell ref="G35:I35"/>
    <mergeCell ref="K35:K36"/>
    <mergeCell ref="G36:I36"/>
    <mergeCell ref="G37:I38"/>
    <mergeCell ref="A24:A27"/>
    <mergeCell ref="F24:F29"/>
    <mergeCell ref="G24:I24"/>
    <mergeCell ref="G25:I25"/>
    <mergeCell ref="G26:I26"/>
    <mergeCell ref="G27:I27"/>
    <mergeCell ref="A28:E28"/>
    <mergeCell ref="G28:I28"/>
    <mergeCell ref="G29:I29"/>
    <mergeCell ref="C20:D20"/>
    <mergeCell ref="G20:I20"/>
    <mergeCell ref="C22:D22"/>
    <mergeCell ref="G22:J22"/>
    <mergeCell ref="C17:D17"/>
    <mergeCell ref="G17:I17"/>
    <mergeCell ref="C18:D18"/>
    <mergeCell ref="G18:I18"/>
    <mergeCell ref="C19:D19"/>
    <mergeCell ref="G19:I19"/>
    <mergeCell ref="A8:A9"/>
    <mergeCell ref="E8:E9"/>
    <mergeCell ref="A12:K12"/>
    <mergeCell ref="A13:E15"/>
    <mergeCell ref="F13:F16"/>
    <mergeCell ref="G13:K15"/>
    <mergeCell ref="A16:D16"/>
    <mergeCell ref="G16:I16"/>
    <mergeCell ref="F8:F9"/>
    <mergeCell ref="G8:G9"/>
    <mergeCell ref="H8:H9"/>
    <mergeCell ref="I8:I9"/>
    <mergeCell ref="A2:E3"/>
    <mergeCell ref="F2:K3"/>
    <mergeCell ref="A4:A6"/>
    <mergeCell ref="B4:B6"/>
    <mergeCell ref="C4:C6"/>
    <mergeCell ref="D4:D6"/>
    <mergeCell ref="E4:E6"/>
    <mergeCell ref="F4:G4"/>
    <mergeCell ref="H4:I4"/>
    <mergeCell ref="J4:K4"/>
    <mergeCell ref="F5:F6"/>
    <mergeCell ref="G5:G6"/>
    <mergeCell ref="H5:H6"/>
    <mergeCell ref="I5:I6"/>
    <mergeCell ref="J5:J6"/>
    <mergeCell ref="K5:K6"/>
  </mergeCells>
  <pageMargins left="0.7" right="0.7" top="0.75" bottom="0.75" header="0.3" footer="0.3"/>
  <ignoredErrors>
    <ignoredError sqref="E41:E43" unlockedFormula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C85"/>
  <sheetViews>
    <sheetView workbookViewId="0">
      <selection activeCell="F10" sqref="F10"/>
    </sheetView>
  </sheetViews>
  <sheetFormatPr defaultColWidth="9.140625" defaultRowHeight="21" x14ac:dyDescent="0.25"/>
  <cols>
    <col min="1" max="1" width="21.28515625" style="260" customWidth="1"/>
    <col min="2" max="2" width="22.7109375" style="260" customWidth="1"/>
    <col min="3" max="3" width="17.140625" style="260" customWidth="1"/>
    <col min="4" max="4" width="15" style="260" customWidth="1"/>
    <col min="5" max="5" width="15.7109375" style="260" bestFit="1" customWidth="1"/>
    <col min="6" max="6" width="16.5703125" style="261" customWidth="1"/>
    <col min="7" max="7" width="16.7109375" style="260" customWidth="1"/>
    <col min="8" max="8" width="15" style="260" customWidth="1"/>
    <col min="9" max="9" width="17.28515625" style="260" customWidth="1"/>
    <col min="10" max="10" width="13.28515625" style="260" customWidth="1"/>
    <col min="11" max="11" width="15.28515625" style="222" customWidth="1"/>
    <col min="12" max="12" width="3.7109375" style="222" customWidth="1"/>
    <col min="13" max="13" width="95" style="223" customWidth="1"/>
    <col min="14" max="14" width="3.7109375" style="223" customWidth="1"/>
    <col min="15" max="55" width="9.140625" style="223"/>
    <col min="56" max="16384" width="9.140625" style="32"/>
  </cols>
  <sheetData>
    <row r="1" spans="1:55" ht="26.25" x14ac:dyDescent="0.25">
      <c r="A1" s="566" t="s">
        <v>205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</row>
    <row r="2" spans="1:55" x14ac:dyDescent="0.25">
      <c r="A2" s="451" t="s">
        <v>145</v>
      </c>
      <c r="B2" s="451"/>
      <c r="C2" s="451"/>
      <c r="D2" s="451"/>
      <c r="E2" s="451"/>
      <c r="F2" s="452" t="s">
        <v>146</v>
      </c>
      <c r="G2" s="452"/>
      <c r="H2" s="452"/>
      <c r="I2" s="452"/>
      <c r="J2" s="452"/>
      <c r="K2" s="452"/>
    </row>
    <row r="3" spans="1:55" ht="15" x14ac:dyDescent="0.25">
      <c r="A3" s="451"/>
      <c r="B3" s="451"/>
      <c r="C3" s="451"/>
      <c r="D3" s="451"/>
      <c r="E3" s="451"/>
      <c r="F3" s="452"/>
      <c r="G3" s="452"/>
      <c r="H3" s="452"/>
      <c r="I3" s="452"/>
      <c r="J3" s="452"/>
      <c r="K3" s="452"/>
      <c r="L3" s="223"/>
      <c r="AY3" s="32"/>
      <c r="AZ3" s="32"/>
      <c r="BA3" s="32"/>
      <c r="BB3" s="32"/>
      <c r="BC3" s="32"/>
    </row>
    <row r="4" spans="1:55" s="226" customFormat="1" ht="15.75" x14ac:dyDescent="0.25">
      <c r="A4" s="623" t="s">
        <v>135</v>
      </c>
      <c r="B4" s="455" t="s">
        <v>136</v>
      </c>
      <c r="C4" s="455" t="s">
        <v>104</v>
      </c>
      <c r="D4" s="455" t="s">
        <v>152</v>
      </c>
      <c r="E4" s="455" t="s">
        <v>137</v>
      </c>
      <c r="F4" s="458" t="s">
        <v>147</v>
      </c>
      <c r="G4" s="458"/>
      <c r="H4" s="458" t="s">
        <v>141</v>
      </c>
      <c r="I4" s="458"/>
      <c r="J4" s="458" t="s">
        <v>138</v>
      </c>
      <c r="K4" s="458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</row>
    <row r="5" spans="1:55" s="226" customFormat="1" ht="15" x14ac:dyDescent="0.25">
      <c r="A5" s="623"/>
      <c r="B5" s="456"/>
      <c r="C5" s="456"/>
      <c r="D5" s="456"/>
      <c r="E5" s="456"/>
      <c r="F5" s="459" t="s">
        <v>148</v>
      </c>
      <c r="G5" s="459" t="s">
        <v>149</v>
      </c>
      <c r="H5" s="461" t="s">
        <v>142</v>
      </c>
      <c r="I5" s="461" t="s">
        <v>143</v>
      </c>
      <c r="J5" s="461" t="s">
        <v>139</v>
      </c>
      <c r="K5" s="461" t="s">
        <v>140</v>
      </c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3"/>
      <c r="AS5" s="223"/>
      <c r="AT5" s="223"/>
      <c r="AU5" s="223"/>
      <c r="AV5" s="223"/>
      <c r="AW5" s="223"/>
    </row>
    <row r="6" spans="1:55" s="226" customFormat="1" ht="15" x14ac:dyDescent="0.25">
      <c r="A6" s="624"/>
      <c r="B6" s="457"/>
      <c r="C6" s="456"/>
      <c r="D6" s="456"/>
      <c r="E6" s="456"/>
      <c r="F6" s="460"/>
      <c r="G6" s="460"/>
      <c r="H6" s="461"/>
      <c r="I6" s="461"/>
      <c r="J6" s="461"/>
      <c r="K6" s="461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3"/>
      <c r="AT6" s="223"/>
      <c r="AU6" s="223"/>
      <c r="AV6" s="223"/>
      <c r="AW6" s="223"/>
    </row>
    <row r="7" spans="1:55" s="226" customFormat="1" x14ac:dyDescent="0.25">
      <c r="A7" s="53" t="s">
        <v>121</v>
      </c>
      <c r="B7" s="282">
        <v>1</v>
      </c>
      <c r="C7" s="283">
        <v>4000</v>
      </c>
      <c r="D7" s="283"/>
      <c r="E7" s="54" t="str">
        <f>IF(D7&gt;0,C7*D7,"")</f>
        <v/>
      </c>
      <c r="F7" s="55">
        <f>E39+K44</f>
        <v>5599</v>
      </c>
      <c r="G7" s="55">
        <f>F7-E$44</f>
        <v>4843</v>
      </c>
      <c r="H7" s="56" t="str">
        <f>IF(D7="","",E7-F7)</f>
        <v/>
      </c>
      <c r="I7" s="56" t="str">
        <f>IF(H7="","",H7+E$44)</f>
        <v/>
      </c>
      <c r="J7" s="57">
        <f>F7/C7</f>
        <v>1.39975</v>
      </c>
      <c r="K7" s="57">
        <f>G7/C7</f>
        <v>1.21075</v>
      </c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</row>
    <row r="8" spans="1:55" s="226" customFormat="1" ht="21" customHeight="1" x14ac:dyDescent="0.25">
      <c r="A8" s="599" t="s">
        <v>208</v>
      </c>
      <c r="B8" s="282" t="s">
        <v>159</v>
      </c>
      <c r="C8" s="283">
        <v>450</v>
      </c>
      <c r="D8" s="328">
        <v>11.5</v>
      </c>
      <c r="E8" s="564">
        <f>IF(D9&gt;0,C9*D9,"")+IF(D8&gt;0,C8*D8,"")</f>
        <v>5560</v>
      </c>
      <c r="F8" s="568">
        <f>F7+K22</f>
        <v>5779</v>
      </c>
      <c r="G8" s="568">
        <f>F8-E$44</f>
        <v>5023</v>
      </c>
      <c r="H8" s="570">
        <f>IF(D9="","",E8-F8)</f>
        <v>-219</v>
      </c>
      <c r="I8" s="570">
        <f>IF(H8="","",H8+E$44)</f>
        <v>537</v>
      </c>
      <c r="J8" s="57"/>
      <c r="K8" s="57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</row>
    <row r="9" spans="1:55" s="226" customFormat="1" x14ac:dyDescent="0.25">
      <c r="A9" s="600"/>
      <c r="B9" s="284" t="s">
        <v>207</v>
      </c>
      <c r="C9" s="283">
        <v>350</v>
      </c>
      <c r="D9" s="328">
        <v>1.1000000000000001</v>
      </c>
      <c r="E9" s="565"/>
      <c r="F9" s="569"/>
      <c r="G9" s="569"/>
      <c r="H9" s="571"/>
      <c r="I9" s="571"/>
      <c r="J9" s="57"/>
      <c r="K9" s="57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223"/>
      <c r="AS9" s="223"/>
      <c r="AT9" s="223"/>
      <c r="AU9" s="223"/>
      <c r="AV9" s="223"/>
      <c r="AW9" s="223"/>
    </row>
    <row r="10" spans="1:55" s="226" customFormat="1" x14ac:dyDescent="0.25">
      <c r="A10" s="53" t="s">
        <v>124</v>
      </c>
      <c r="B10" s="286">
        <v>0.91</v>
      </c>
      <c r="C10" s="283">
        <f>C$7*B10</f>
        <v>3640</v>
      </c>
      <c r="D10" s="287">
        <v>3.2</v>
      </c>
      <c r="E10" s="58">
        <f t="shared" ref="E10:E11" si="0">IF(D10&gt;0,C10*D10,"")</f>
        <v>11648</v>
      </c>
      <c r="F10" s="60">
        <f>F7+K29-K44</f>
        <v>9668.119999999999</v>
      </c>
      <c r="G10" s="55">
        <f>F10-E$44</f>
        <v>8912.119999999999</v>
      </c>
      <c r="H10" s="56">
        <f>IF(D10="","",E10-F10)</f>
        <v>1979.880000000001</v>
      </c>
      <c r="I10" s="56">
        <f>IF(H10="","",H10+E$44)</f>
        <v>2735.880000000001</v>
      </c>
      <c r="J10" s="57">
        <f>F10/C10</f>
        <v>2.656076923076923</v>
      </c>
      <c r="K10" s="57">
        <f>G10/C10</f>
        <v>2.4483846153846152</v>
      </c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  <c r="AL10" s="223"/>
      <c r="AM10" s="223"/>
      <c r="AN10" s="223"/>
      <c r="AO10" s="223"/>
      <c r="AP10" s="223"/>
      <c r="AQ10" s="223"/>
      <c r="AR10" s="223"/>
      <c r="AS10" s="223"/>
      <c r="AT10" s="223"/>
      <c r="AU10" s="223"/>
      <c r="AV10" s="223"/>
      <c r="AW10" s="223"/>
    </row>
    <row r="11" spans="1:55" s="226" customFormat="1" x14ac:dyDescent="0.25">
      <c r="A11" s="53" t="s">
        <v>82</v>
      </c>
      <c r="B11" s="286">
        <v>0.875</v>
      </c>
      <c r="C11" s="283">
        <f>C$7*B11</f>
        <v>3500</v>
      </c>
      <c r="D11" s="287">
        <v>3</v>
      </c>
      <c r="E11" s="58">
        <f t="shared" si="0"/>
        <v>10500</v>
      </c>
      <c r="F11" s="60">
        <f>F7+K39-K44</f>
        <v>7967.75</v>
      </c>
      <c r="G11" s="55">
        <f>F11-E$44</f>
        <v>7211.75</v>
      </c>
      <c r="H11" s="56">
        <f>IF(D11="","",E11-F11)</f>
        <v>2532.25</v>
      </c>
      <c r="I11" s="56">
        <f>IF(H11="","",H11+E$44)</f>
        <v>3288.25</v>
      </c>
      <c r="J11" s="57">
        <f>F11/C11</f>
        <v>2.2765</v>
      </c>
      <c r="K11" s="57">
        <f>G11/C11</f>
        <v>2.0605000000000002</v>
      </c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</row>
    <row r="12" spans="1:55" s="226" customFormat="1" ht="18.75" thickBot="1" x14ac:dyDescent="0.3">
      <c r="A12" s="462"/>
      <c r="B12" s="462"/>
      <c r="C12" s="462"/>
      <c r="D12" s="462"/>
      <c r="E12" s="462"/>
      <c r="F12" s="462"/>
      <c r="G12" s="462"/>
      <c r="H12" s="462"/>
      <c r="I12" s="462"/>
      <c r="J12" s="462"/>
      <c r="K12" s="462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</row>
    <row r="13" spans="1:55" s="226" customFormat="1" ht="21" customHeight="1" x14ac:dyDescent="0.25">
      <c r="A13" s="601" t="s">
        <v>144</v>
      </c>
      <c r="B13" s="601"/>
      <c r="C13" s="601"/>
      <c r="D13" s="601"/>
      <c r="E13" s="602"/>
      <c r="F13" s="469" t="s">
        <v>192</v>
      </c>
      <c r="G13" s="472" t="s">
        <v>150</v>
      </c>
      <c r="H13" s="473"/>
      <c r="I13" s="473"/>
      <c r="J13" s="473"/>
      <c r="K13" s="47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3"/>
      <c r="AN13" s="223"/>
      <c r="AO13" s="223"/>
      <c r="AP13" s="223"/>
      <c r="AQ13" s="223"/>
      <c r="AR13" s="223"/>
      <c r="AS13" s="223"/>
      <c r="AT13" s="223"/>
      <c r="AU13" s="223"/>
      <c r="AV13" s="223"/>
      <c r="AW13" s="223"/>
      <c r="AX13" s="223"/>
    </row>
    <row r="14" spans="1:55" s="226" customFormat="1" x14ac:dyDescent="0.25">
      <c r="A14" s="603"/>
      <c r="B14" s="603"/>
      <c r="C14" s="603"/>
      <c r="D14" s="603"/>
      <c r="E14" s="604"/>
      <c r="F14" s="470"/>
      <c r="G14" s="472"/>
      <c r="H14" s="473"/>
      <c r="I14" s="473"/>
      <c r="J14" s="473"/>
      <c r="K14" s="473"/>
      <c r="L14" s="222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23"/>
      <c r="AZ14" s="223"/>
      <c r="BA14" s="223"/>
      <c r="BB14" s="223"/>
      <c r="BC14" s="223"/>
    </row>
    <row r="15" spans="1:55" s="226" customFormat="1" ht="15" x14ac:dyDescent="0.25">
      <c r="A15" s="605"/>
      <c r="B15" s="605"/>
      <c r="C15" s="605"/>
      <c r="D15" s="605"/>
      <c r="E15" s="606"/>
      <c r="F15" s="470"/>
      <c r="G15" s="474"/>
      <c r="H15" s="475"/>
      <c r="I15" s="475"/>
      <c r="J15" s="475"/>
      <c r="K15" s="475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  <c r="AO15" s="223"/>
      <c r="AP15" s="223"/>
      <c r="AQ15" s="223"/>
      <c r="AR15" s="223"/>
      <c r="AS15" s="223"/>
      <c r="AT15" s="223"/>
      <c r="AU15" s="223"/>
      <c r="AV15" s="223"/>
      <c r="AW15" s="223"/>
      <c r="AX15" s="223"/>
      <c r="AY15" s="223"/>
      <c r="AZ15" s="223"/>
      <c r="BA15" s="223"/>
    </row>
    <row r="16" spans="1:55" s="226" customFormat="1" ht="21.75" thickBot="1" x14ac:dyDescent="0.3">
      <c r="A16" s="476" t="s">
        <v>108</v>
      </c>
      <c r="B16" s="477"/>
      <c r="C16" s="477"/>
      <c r="D16" s="478"/>
      <c r="E16" s="288">
        <v>1600</v>
      </c>
      <c r="F16" s="471"/>
      <c r="G16" s="479" t="s">
        <v>122</v>
      </c>
      <c r="H16" s="480"/>
      <c r="I16" s="480"/>
      <c r="J16" s="230" t="s">
        <v>123</v>
      </c>
      <c r="K16" s="221" t="s">
        <v>0</v>
      </c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223"/>
      <c r="AS16" s="223"/>
      <c r="AT16" s="223"/>
      <c r="AU16" s="223"/>
      <c r="AV16" s="223"/>
      <c r="AW16" s="223"/>
      <c r="AX16" s="223"/>
      <c r="AY16" s="223"/>
      <c r="AZ16" s="223"/>
      <c r="BA16" s="223"/>
    </row>
    <row r="17" spans="1:55" s="226" customFormat="1" ht="21" customHeight="1" x14ac:dyDescent="0.25">
      <c r="A17" s="618" t="s">
        <v>99</v>
      </c>
      <c r="B17" s="618"/>
      <c r="C17" s="489" t="s">
        <v>110</v>
      </c>
      <c r="D17" s="489"/>
      <c r="E17" s="232" t="s">
        <v>109</v>
      </c>
      <c r="F17" s="621" t="s">
        <v>203</v>
      </c>
      <c r="G17" s="480" t="s">
        <v>228</v>
      </c>
      <c r="H17" s="480"/>
      <c r="I17" s="480"/>
      <c r="J17" s="221">
        <f>VLOOKUP(G17,'FİYAT LİSTESİ'!G:I,3,0)</f>
        <v>400</v>
      </c>
      <c r="K17" s="114">
        <f>ROUNDUP(C8*J17/1000,0)</f>
        <v>180</v>
      </c>
      <c r="L17" s="222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223"/>
      <c r="AO17" s="223"/>
      <c r="AP17" s="223"/>
      <c r="AQ17" s="223"/>
      <c r="AR17" s="223"/>
      <c r="AS17" s="223"/>
      <c r="AT17" s="223"/>
      <c r="AU17" s="223"/>
      <c r="AV17" s="223"/>
      <c r="AW17" s="223"/>
      <c r="AX17" s="223"/>
      <c r="AY17" s="223"/>
      <c r="AZ17" s="223"/>
      <c r="BA17" s="223"/>
      <c r="BB17" s="223"/>
    </row>
    <row r="18" spans="1:55" s="226" customFormat="1" ht="21" customHeight="1" x14ac:dyDescent="0.25">
      <c r="A18" s="619"/>
      <c r="B18" s="619"/>
      <c r="C18" s="492" t="s">
        <v>100</v>
      </c>
      <c r="D18" s="492"/>
      <c r="E18" s="59">
        <f>VLOOKUP(C18,'FİYAT LİSTESİ'!B:D,3,0)</f>
        <v>375</v>
      </c>
      <c r="F18" s="622"/>
      <c r="G18" s="616"/>
      <c r="H18" s="617"/>
      <c r="I18" s="479"/>
      <c r="J18" s="221"/>
      <c r="K18" s="114"/>
      <c r="L18" s="222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23"/>
      <c r="AN18" s="223"/>
      <c r="AO18" s="223"/>
      <c r="AP18" s="223"/>
      <c r="AQ18" s="223"/>
      <c r="AR18" s="223"/>
      <c r="AS18" s="223"/>
      <c r="AT18" s="223"/>
      <c r="AU18" s="223"/>
      <c r="AV18" s="223"/>
      <c r="AW18" s="223"/>
      <c r="AX18" s="223"/>
      <c r="AY18" s="223"/>
      <c r="AZ18" s="223"/>
      <c r="BA18" s="223"/>
      <c r="BB18" s="223"/>
    </row>
    <row r="19" spans="1:55" s="226" customFormat="1" ht="21" customHeight="1" x14ac:dyDescent="0.25">
      <c r="A19" s="619"/>
      <c r="B19" s="619"/>
      <c r="C19" s="494" t="s">
        <v>101</v>
      </c>
      <c r="D19" s="494"/>
      <c r="E19" s="59">
        <f>VLOOKUP(C19,'FİYAT LİSTESİ'!B:D,3,0)</f>
        <v>305</v>
      </c>
      <c r="F19" s="622"/>
      <c r="G19" s="616"/>
      <c r="H19" s="617"/>
      <c r="I19" s="479"/>
      <c r="J19" s="221"/>
      <c r="K19" s="114"/>
      <c r="L19" s="222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  <c r="AL19" s="223"/>
      <c r="AM19" s="223"/>
      <c r="AN19" s="223"/>
      <c r="AO19" s="223"/>
      <c r="AP19" s="223"/>
      <c r="AQ19" s="223"/>
      <c r="AR19" s="223"/>
      <c r="AS19" s="223"/>
      <c r="AT19" s="223"/>
      <c r="AU19" s="223"/>
      <c r="AV19" s="223"/>
      <c r="AW19" s="223"/>
      <c r="AX19" s="223"/>
      <c r="AY19" s="223"/>
      <c r="AZ19" s="223"/>
      <c r="BA19" s="223"/>
      <c r="BB19" s="223"/>
    </row>
    <row r="20" spans="1:55" s="226" customFormat="1" ht="21" customHeight="1" x14ac:dyDescent="0.25">
      <c r="A20" s="619"/>
      <c r="B20" s="619"/>
      <c r="C20" s="492" t="s">
        <v>102</v>
      </c>
      <c r="D20" s="492"/>
      <c r="E20" s="59">
        <f>VLOOKUP(C20,'FİYAT LİSTESİ'!B:D,3,0)</f>
        <v>165</v>
      </c>
      <c r="F20" s="622"/>
      <c r="G20" s="480"/>
      <c r="H20" s="480"/>
      <c r="I20" s="480"/>
      <c r="J20" s="221"/>
      <c r="K20" s="114"/>
      <c r="L20" s="222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  <c r="AY20" s="223"/>
      <c r="AZ20" s="223"/>
      <c r="BA20" s="223"/>
      <c r="BB20" s="223"/>
    </row>
    <row r="21" spans="1:55" s="226" customFormat="1" ht="21" customHeight="1" x14ac:dyDescent="0.25">
      <c r="A21" s="619"/>
      <c r="B21" s="619"/>
      <c r="C21" s="492" t="s">
        <v>93</v>
      </c>
      <c r="D21" s="492"/>
      <c r="E21" s="59">
        <f>VLOOKUP(C21,'FİYAT LİSTESİ'!B:D,3,0)</f>
        <v>85</v>
      </c>
      <c r="F21" s="622"/>
      <c r="G21" s="480"/>
      <c r="H21" s="480"/>
      <c r="I21" s="480"/>
      <c r="J21" s="221"/>
      <c r="K21" s="114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23"/>
      <c r="AN21" s="223"/>
      <c r="AO21" s="223"/>
      <c r="AP21" s="223"/>
      <c r="AQ21" s="223"/>
      <c r="AR21" s="223"/>
      <c r="AS21" s="223"/>
      <c r="AT21" s="223"/>
      <c r="AU21" s="223"/>
      <c r="AV21" s="223"/>
      <c r="AW21" s="223"/>
      <c r="AX21" s="223"/>
      <c r="AY21" s="223"/>
      <c r="AZ21" s="223"/>
      <c r="BA21" s="223"/>
      <c r="BB21" s="223"/>
    </row>
    <row r="22" spans="1:55" s="226" customFormat="1" x14ac:dyDescent="0.25">
      <c r="A22" s="620"/>
      <c r="B22" s="620"/>
      <c r="C22" s="495" t="s">
        <v>18</v>
      </c>
      <c r="D22" s="495"/>
      <c r="E22" s="61">
        <f>SUM(E18:E21)</f>
        <v>930</v>
      </c>
      <c r="F22" s="622"/>
      <c r="G22" s="480" t="s">
        <v>18</v>
      </c>
      <c r="H22" s="480"/>
      <c r="I22" s="480"/>
      <c r="J22" s="480"/>
      <c r="K22" s="114">
        <f>SUM(K17:K21)</f>
        <v>180</v>
      </c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  <c r="AR22" s="223"/>
      <c r="AS22" s="223"/>
      <c r="AT22" s="223"/>
      <c r="AU22" s="223"/>
      <c r="AV22" s="223"/>
      <c r="AW22" s="223"/>
      <c r="AX22" s="223"/>
      <c r="AY22" s="223"/>
      <c r="AZ22" s="223"/>
      <c r="BA22" s="223"/>
      <c r="BB22" s="223"/>
    </row>
    <row r="23" spans="1:55" s="226" customFormat="1" ht="23.25" x14ac:dyDescent="0.25">
      <c r="A23" s="263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O23" s="223"/>
      <c r="AP23" s="223"/>
      <c r="AQ23" s="223"/>
      <c r="AR23" s="223"/>
      <c r="AS23" s="223"/>
      <c r="AT23" s="223"/>
      <c r="AU23" s="223"/>
      <c r="AV23" s="223"/>
      <c r="AW23" s="223"/>
      <c r="AX23" s="223"/>
      <c r="AY23" s="223"/>
      <c r="AZ23" s="223"/>
      <c r="BA23" s="223"/>
    </row>
    <row r="24" spans="1:55" s="226" customFormat="1" ht="25.5" x14ac:dyDescent="0.25">
      <c r="A24" s="496" t="s">
        <v>103</v>
      </c>
      <c r="B24" s="235" t="s">
        <v>107</v>
      </c>
      <c r="C24" s="236" t="s">
        <v>104</v>
      </c>
      <c r="D24" s="237" t="s">
        <v>105</v>
      </c>
      <c r="E24" s="238" t="s">
        <v>0</v>
      </c>
      <c r="F24" s="498" t="s">
        <v>189</v>
      </c>
      <c r="G24" s="499" t="s">
        <v>125</v>
      </c>
      <c r="H24" s="499"/>
      <c r="I24" s="499"/>
      <c r="J24" s="66">
        <f>VLOOKUP(G24,'FİYAT LİSTESİ'!G:I,3,0)</f>
        <v>850</v>
      </c>
      <c r="K24" s="67">
        <f>J24</f>
        <v>850</v>
      </c>
      <c r="L24" s="222"/>
      <c r="M24" s="222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  <c r="AL24" s="223"/>
      <c r="AM24" s="223"/>
      <c r="AN24" s="223"/>
      <c r="AO24" s="223"/>
      <c r="AP24" s="223"/>
      <c r="AQ24" s="223"/>
      <c r="AR24" s="223"/>
      <c r="AS24" s="223"/>
      <c r="AT24" s="223"/>
      <c r="AU24" s="223"/>
      <c r="AV24" s="223"/>
      <c r="AW24" s="223"/>
      <c r="AX24" s="223"/>
      <c r="AY24" s="223"/>
      <c r="AZ24" s="223"/>
      <c r="BA24" s="223"/>
      <c r="BB24" s="223"/>
      <c r="BC24" s="223"/>
    </row>
    <row r="25" spans="1:55" s="226" customFormat="1" x14ac:dyDescent="0.25">
      <c r="A25" s="497"/>
      <c r="B25" s="240" t="s">
        <v>158</v>
      </c>
      <c r="C25" s="289">
        <v>22</v>
      </c>
      <c r="D25" s="80">
        <f>VLOOKUP(B25,'FİYAT LİSTESİ'!B:D,3,0)</f>
        <v>18</v>
      </c>
      <c r="E25" s="80">
        <f>C25*D25</f>
        <v>396</v>
      </c>
      <c r="F25" s="498"/>
      <c r="G25" s="500" t="s">
        <v>126</v>
      </c>
      <c r="H25" s="500"/>
      <c r="I25" s="500"/>
      <c r="J25" s="66">
        <f>VLOOKUP(G25,'FİYAT LİSTESİ'!G:I,3,0)</f>
        <v>700</v>
      </c>
      <c r="K25" s="67">
        <f>J25*C10/1000</f>
        <v>2548</v>
      </c>
      <c r="L25" s="222"/>
      <c r="M25" s="222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223"/>
      <c r="AH25" s="223"/>
      <c r="AI25" s="223"/>
      <c r="AJ25" s="223"/>
      <c r="AK25" s="223"/>
      <c r="AL25" s="223"/>
      <c r="AM25" s="223"/>
      <c r="AN25" s="223"/>
      <c r="AO25" s="223"/>
      <c r="AP25" s="223"/>
      <c r="AQ25" s="223"/>
      <c r="AR25" s="223"/>
      <c r="AS25" s="223"/>
      <c r="AT25" s="223"/>
      <c r="AU25" s="223"/>
      <c r="AV25" s="223"/>
      <c r="AW25" s="223"/>
      <c r="AX25" s="223"/>
      <c r="AY25" s="223"/>
      <c r="AZ25" s="223"/>
      <c r="BA25" s="223"/>
      <c r="BB25" s="223"/>
      <c r="BC25" s="223"/>
    </row>
    <row r="26" spans="1:55" s="226" customFormat="1" x14ac:dyDescent="0.25">
      <c r="A26" s="497"/>
      <c r="B26" s="241"/>
      <c r="C26" s="242"/>
      <c r="D26" s="62"/>
      <c r="E26" s="63"/>
      <c r="F26" s="498"/>
      <c r="G26" s="499" t="s">
        <v>257</v>
      </c>
      <c r="H26" s="499"/>
      <c r="I26" s="499"/>
      <c r="J26" s="66">
        <f>VLOOKUP(G26,'FİYAT LİSTESİ'!G:I,3,0)</f>
        <v>2900</v>
      </c>
      <c r="K26" s="67">
        <f>(C10/1000)*(J26/50)</f>
        <v>211.12</v>
      </c>
      <c r="L26" s="222"/>
      <c r="M26" s="222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  <c r="AO26" s="223"/>
      <c r="AP26" s="223"/>
      <c r="AQ26" s="223"/>
      <c r="AR26" s="223"/>
      <c r="AS26" s="223"/>
      <c r="AT26" s="223"/>
      <c r="AU26" s="223"/>
      <c r="AV26" s="223"/>
      <c r="AW26" s="223"/>
      <c r="AX26" s="223"/>
      <c r="AY26" s="223"/>
      <c r="AZ26" s="223"/>
      <c r="BA26" s="223"/>
      <c r="BB26" s="223"/>
      <c r="BC26" s="223"/>
    </row>
    <row r="27" spans="1:55" s="226" customFormat="1" ht="26.45" customHeight="1" x14ac:dyDescent="0.25">
      <c r="A27" s="497"/>
      <c r="B27" s="243" t="s">
        <v>18</v>
      </c>
      <c r="C27" s="244"/>
      <c r="D27" s="64"/>
      <c r="E27" s="65">
        <f>SUM(E25+E26)</f>
        <v>396</v>
      </c>
      <c r="F27" s="498"/>
      <c r="G27" s="501" t="s">
        <v>190</v>
      </c>
      <c r="H27" s="502"/>
      <c r="I27" s="503"/>
      <c r="J27" s="66">
        <f>VLOOKUP(G27,'FİYAT LİSTESİ'!G:I,3,0)</f>
        <v>200</v>
      </c>
      <c r="K27" s="117">
        <f>J27*C10/1000</f>
        <v>728</v>
      </c>
      <c r="L27" s="222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  <c r="AL27" s="223"/>
      <c r="AM27" s="223"/>
      <c r="AN27" s="223"/>
      <c r="AO27" s="223"/>
      <c r="AP27" s="223"/>
      <c r="AQ27" s="223"/>
      <c r="AR27" s="223"/>
      <c r="AS27" s="223"/>
      <c r="AT27" s="223"/>
      <c r="AU27" s="223"/>
      <c r="AV27" s="223"/>
      <c r="AW27" s="223"/>
      <c r="AX27" s="223"/>
      <c r="AY27" s="223"/>
      <c r="AZ27" s="223"/>
      <c r="BA27" s="223"/>
      <c r="BB27" s="223"/>
      <c r="BC27" s="223"/>
    </row>
    <row r="28" spans="1:55" s="226" customFormat="1" ht="20.25" customHeight="1" x14ac:dyDescent="0.25">
      <c r="A28" s="504"/>
      <c r="B28" s="504"/>
      <c r="C28" s="504"/>
      <c r="D28" s="504"/>
      <c r="E28" s="505"/>
      <c r="F28" s="498"/>
      <c r="G28" s="499" t="s">
        <v>127</v>
      </c>
      <c r="H28" s="499"/>
      <c r="I28" s="499"/>
      <c r="J28" s="147">
        <f>ROUNDUP(C7/1000,1)</f>
        <v>4</v>
      </c>
      <c r="K28" s="118"/>
      <c r="L28" s="222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223"/>
      <c r="AS28" s="223"/>
      <c r="AT28" s="223"/>
      <c r="AU28" s="223"/>
      <c r="AV28" s="223"/>
      <c r="AW28" s="223"/>
      <c r="AX28" s="223"/>
      <c r="AY28" s="223"/>
      <c r="AZ28" s="223"/>
      <c r="BA28" s="223"/>
      <c r="BB28" s="223"/>
      <c r="BC28" s="223"/>
    </row>
    <row r="29" spans="1:55" s="226" customFormat="1" ht="30" x14ac:dyDescent="0.25">
      <c r="A29" s="506" t="s">
        <v>111</v>
      </c>
      <c r="B29" s="101" t="s">
        <v>110</v>
      </c>
      <c r="C29" s="245" t="s">
        <v>104</v>
      </c>
      <c r="D29" s="245" t="s">
        <v>105</v>
      </c>
      <c r="E29" s="245" t="s">
        <v>0</v>
      </c>
      <c r="F29" s="498"/>
      <c r="G29" s="501" t="s">
        <v>18</v>
      </c>
      <c r="H29" s="502"/>
      <c r="I29" s="503"/>
      <c r="J29" s="246"/>
      <c r="K29" s="67">
        <f>SUM(K24:K28)</f>
        <v>4337.12</v>
      </c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  <c r="AL29" s="223"/>
      <c r="AM29" s="223"/>
      <c r="AN29" s="223"/>
      <c r="AO29" s="223"/>
      <c r="AP29" s="223"/>
      <c r="AQ29" s="223"/>
      <c r="AR29" s="223"/>
      <c r="AS29" s="223"/>
      <c r="AT29" s="223"/>
      <c r="AU29" s="223"/>
      <c r="AV29" s="223"/>
      <c r="AW29" s="223"/>
      <c r="AX29" s="223"/>
      <c r="AY29" s="223"/>
      <c r="AZ29" s="223"/>
      <c r="BA29" s="223"/>
      <c r="BB29" s="223"/>
      <c r="BC29" s="223"/>
    </row>
    <row r="30" spans="1:55" s="226" customFormat="1" ht="15.75" x14ac:dyDescent="0.25">
      <c r="A30" s="507"/>
      <c r="B30" s="217" t="s">
        <v>85</v>
      </c>
      <c r="C30" s="292">
        <v>25</v>
      </c>
      <c r="D30" s="103">
        <f>VLOOKUP(B30,'FİYAT LİSTESİ'!B:D,3,0)</f>
        <v>24</v>
      </c>
      <c r="E30" s="104">
        <f>D30*C30</f>
        <v>600</v>
      </c>
      <c r="F30" s="511"/>
      <c r="G30" s="512"/>
      <c r="H30" s="512"/>
      <c r="I30" s="512"/>
      <c r="J30" s="512"/>
      <c r="K30" s="51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  <c r="AL30" s="223"/>
      <c r="AM30" s="223"/>
      <c r="AN30" s="223"/>
      <c r="AO30" s="223"/>
      <c r="AP30" s="223"/>
      <c r="AQ30" s="223"/>
      <c r="AR30" s="223"/>
      <c r="AS30" s="223"/>
      <c r="AT30" s="223"/>
      <c r="AU30" s="223"/>
      <c r="AV30" s="223"/>
      <c r="AW30" s="223"/>
      <c r="AX30" s="223"/>
      <c r="AY30" s="223"/>
      <c r="AZ30" s="223"/>
      <c r="BA30" s="223"/>
      <c r="BB30" s="223"/>
      <c r="BC30" s="223"/>
    </row>
    <row r="31" spans="1:55" s="226" customFormat="1" ht="18" x14ac:dyDescent="0.25">
      <c r="A31" s="507"/>
      <c r="B31" s="247" t="s">
        <v>98</v>
      </c>
      <c r="C31" s="292">
        <v>15</v>
      </c>
      <c r="D31" s="103">
        <f>VLOOKUP(B31,'FİYAT LİSTESİ'!B:D,3,0)</f>
        <v>23</v>
      </c>
      <c r="E31" s="104">
        <f>D31*C31</f>
        <v>345</v>
      </c>
      <c r="F31" s="514" t="s">
        <v>128</v>
      </c>
      <c r="G31" s="515" t="s">
        <v>125</v>
      </c>
      <c r="H31" s="515"/>
      <c r="I31" s="515"/>
      <c r="J31" s="66">
        <f>VLOOKUP(G31,'FİYAT LİSTESİ'!G:I,3,0)</f>
        <v>850</v>
      </c>
      <c r="K31" s="142">
        <f>J31</f>
        <v>850</v>
      </c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  <c r="AL31" s="223"/>
      <c r="AM31" s="223"/>
      <c r="AN31" s="223"/>
      <c r="AO31" s="223"/>
      <c r="AP31" s="223"/>
      <c r="AQ31" s="223"/>
      <c r="AR31" s="223"/>
      <c r="AS31" s="223"/>
      <c r="AT31" s="223"/>
      <c r="AU31" s="223"/>
      <c r="AV31" s="223"/>
      <c r="AW31" s="223"/>
      <c r="AX31" s="223"/>
      <c r="AY31" s="223"/>
      <c r="AZ31" s="223"/>
      <c r="BA31" s="223"/>
      <c r="BB31" s="223"/>
      <c r="BC31" s="223"/>
    </row>
    <row r="32" spans="1:55" s="226" customFormat="1" ht="18" x14ac:dyDescent="0.25">
      <c r="A32" s="507"/>
      <c r="B32" s="247" t="s">
        <v>112</v>
      </c>
      <c r="C32" s="292">
        <v>1</v>
      </c>
      <c r="D32" s="103">
        <f>VLOOKUP(B32,'FİYAT LİSTESİ'!B:D,3,0)</f>
        <v>450</v>
      </c>
      <c r="E32" s="104">
        <f>IF(C32="YOK",0,D32*C32)</f>
        <v>450</v>
      </c>
      <c r="F32" s="514"/>
      <c r="G32" s="515" t="s">
        <v>191</v>
      </c>
      <c r="H32" s="515"/>
      <c r="I32" s="515"/>
      <c r="J32" s="66">
        <f>VLOOKUP(G32,'FİYAT LİSTESİ'!G:I,3,0)</f>
        <v>200</v>
      </c>
      <c r="K32" s="142">
        <f>J32*C11/1000</f>
        <v>700</v>
      </c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  <c r="AL32" s="223"/>
      <c r="AM32" s="223"/>
      <c r="AN32" s="223"/>
      <c r="AO32" s="223"/>
      <c r="AP32" s="223"/>
      <c r="AQ32" s="223"/>
      <c r="AR32" s="223"/>
      <c r="AS32" s="223"/>
      <c r="AT32" s="223"/>
      <c r="AU32" s="223"/>
      <c r="AV32" s="223"/>
      <c r="AW32" s="223"/>
      <c r="AX32" s="223"/>
      <c r="AY32" s="223"/>
      <c r="AZ32" s="223"/>
      <c r="BA32" s="223"/>
      <c r="BB32" s="223"/>
      <c r="BC32" s="223"/>
    </row>
    <row r="33" spans="1:55" s="226" customFormat="1" ht="18" x14ac:dyDescent="0.25">
      <c r="A33" s="507"/>
      <c r="B33" s="248"/>
      <c r="C33" s="326" t="s">
        <v>117</v>
      </c>
      <c r="D33" s="103" t="s">
        <v>224</v>
      </c>
      <c r="E33" s="104" t="s">
        <v>0</v>
      </c>
      <c r="F33" s="514"/>
      <c r="G33" s="515" t="s">
        <v>257</v>
      </c>
      <c r="H33" s="515"/>
      <c r="I33" s="515"/>
      <c r="J33" s="66">
        <f>VLOOKUP(G33,'FİYAT LİSTESİ'!G:I,3,0)</f>
        <v>2900</v>
      </c>
      <c r="K33" s="142">
        <f>(C11/1000)*(J33/50)</f>
        <v>203</v>
      </c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3"/>
      <c r="AK33" s="223"/>
      <c r="AL33" s="223"/>
      <c r="AM33" s="223"/>
      <c r="AN33" s="223"/>
      <c r="AO33" s="223"/>
      <c r="AP33" s="223"/>
      <c r="AQ33" s="223"/>
      <c r="AR33" s="223"/>
      <c r="AS33" s="223"/>
      <c r="AT33" s="223"/>
      <c r="AU33" s="223"/>
      <c r="AV33" s="223"/>
      <c r="AW33" s="223"/>
      <c r="AX33" s="223"/>
      <c r="AY33" s="223"/>
      <c r="AZ33" s="223"/>
      <c r="BA33" s="223"/>
      <c r="BB33" s="223"/>
      <c r="BC33" s="223"/>
    </row>
    <row r="34" spans="1:55" s="226" customFormat="1" ht="18" x14ac:dyDescent="0.25">
      <c r="A34" s="507"/>
      <c r="B34" s="249" t="s">
        <v>86</v>
      </c>
      <c r="C34" s="293">
        <v>1</v>
      </c>
      <c r="D34" s="103">
        <f>VLOOKUP(B34,'FİYAT LİSTESİ'!B:D,3,0)</f>
        <v>55</v>
      </c>
      <c r="E34" s="104">
        <f>IF(C34="YOK",0,D34*C34)</f>
        <v>55</v>
      </c>
      <c r="F34" s="514"/>
      <c r="G34" s="515" t="s">
        <v>97</v>
      </c>
      <c r="H34" s="515"/>
      <c r="I34" s="515"/>
      <c r="J34" s="66">
        <f>VLOOKUP(G34,'FİYAT LİSTESİ'!G:I,3,0)</f>
        <v>50</v>
      </c>
      <c r="K34" s="142">
        <f>J34*C11/1000</f>
        <v>175</v>
      </c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3"/>
      <c r="AO34" s="223"/>
      <c r="AP34" s="223"/>
      <c r="AQ34" s="223"/>
      <c r="AR34" s="223"/>
      <c r="AS34" s="223"/>
      <c r="AT34" s="223"/>
      <c r="AU34" s="223"/>
      <c r="AV34" s="223"/>
      <c r="AW34" s="223"/>
      <c r="AX34" s="223"/>
      <c r="AY34" s="223"/>
      <c r="AZ34" s="223"/>
      <c r="BA34" s="223"/>
      <c r="BB34" s="223"/>
      <c r="BC34" s="223"/>
    </row>
    <row r="35" spans="1:55" s="226" customFormat="1" ht="18" x14ac:dyDescent="0.25">
      <c r="A35" s="507"/>
      <c r="B35" s="217" t="s">
        <v>114</v>
      </c>
      <c r="C35" s="292">
        <v>1</v>
      </c>
      <c r="D35" s="103">
        <f>VLOOKUP(B35,'FİYAT LİSTESİ'!B:D,3,0)</f>
        <v>55</v>
      </c>
      <c r="E35" s="104">
        <f>IF(C35="YOK",0,C35*D35)</f>
        <v>55</v>
      </c>
      <c r="F35" s="514"/>
      <c r="G35" s="515" t="s">
        <v>129</v>
      </c>
      <c r="H35" s="515"/>
      <c r="I35" s="515"/>
      <c r="J35" s="66">
        <f>VLOOKUP(G35,'FİYAT LİSTESİ'!G:I,3,0)</f>
        <v>35</v>
      </c>
      <c r="K35" s="376">
        <f>J35*J36*C11/1000</f>
        <v>183.75</v>
      </c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3"/>
      <c r="AO35" s="223"/>
      <c r="AP35" s="223"/>
      <c r="AQ35" s="223"/>
      <c r="AR35" s="223"/>
      <c r="AS35" s="223"/>
      <c r="AT35" s="223"/>
      <c r="AU35" s="223"/>
      <c r="AV35" s="223"/>
      <c r="AW35" s="223"/>
      <c r="AX35" s="223"/>
      <c r="AY35" s="223"/>
      <c r="AZ35" s="223"/>
      <c r="BA35" s="223"/>
      <c r="BB35" s="223"/>
      <c r="BC35" s="223"/>
    </row>
    <row r="36" spans="1:55" s="226" customFormat="1" ht="18" x14ac:dyDescent="0.25">
      <c r="A36" s="507"/>
      <c r="B36" s="247" t="s">
        <v>115</v>
      </c>
      <c r="C36" s="292">
        <v>2</v>
      </c>
      <c r="D36" s="103">
        <f>VLOOKUP(B36,'FİYAT LİSTESİ'!B:D,3,0)</f>
        <v>200</v>
      </c>
      <c r="E36" s="104">
        <f>IF(C36="YOK",0,D36*C36)</f>
        <v>400</v>
      </c>
      <c r="F36" s="514"/>
      <c r="G36" s="515" t="s">
        <v>131</v>
      </c>
      <c r="H36" s="515"/>
      <c r="I36" s="515"/>
      <c r="J36" s="66">
        <f>VLOOKUP(G36,'FİYAT LİSTESİ'!G:I,3,0)</f>
        <v>1.5</v>
      </c>
      <c r="K36" s="376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223"/>
      <c r="AR36" s="223"/>
      <c r="AS36" s="223"/>
      <c r="AT36" s="223"/>
      <c r="AU36" s="223"/>
      <c r="AV36" s="223"/>
      <c r="AW36" s="223"/>
      <c r="AX36" s="223"/>
      <c r="AY36" s="223"/>
      <c r="AZ36" s="223"/>
      <c r="BA36" s="223"/>
      <c r="BB36" s="223"/>
      <c r="BC36" s="223"/>
    </row>
    <row r="37" spans="1:55" s="226" customFormat="1" ht="15.75" customHeight="1" x14ac:dyDescent="0.25">
      <c r="A37" s="507"/>
      <c r="B37" s="217" t="s">
        <v>87</v>
      </c>
      <c r="C37" s="292">
        <v>2</v>
      </c>
      <c r="D37" s="103">
        <f>VLOOKUP(B37,'FİYAT LİSTESİ'!B:D,3,0)</f>
        <v>250</v>
      </c>
      <c r="E37" s="104">
        <f>IF(C37="YOK",0,D37*C37)</f>
        <v>500</v>
      </c>
      <c r="F37" s="514"/>
      <c r="G37" s="516" t="s">
        <v>130</v>
      </c>
      <c r="H37" s="516"/>
      <c r="I37" s="516"/>
      <c r="J37" s="378">
        <f>VLOOKUP(G37,'FİYAT LİSTESİ'!G:I,3,0)</f>
        <v>150</v>
      </c>
      <c r="K37" s="376">
        <f>J37*C11/1000</f>
        <v>525</v>
      </c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  <c r="AZ37" s="223"/>
      <c r="BA37" s="223"/>
      <c r="BB37" s="223"/>
      <c r="BC37" s="223"/>
    </row>
    <row r="38" spans="1:55" s="226" customFormat="1" x14ac:dyDescent="0.25">
      <c r="A38" s="507"/>
      <c r="B38" s="508" t="s">
        <v>18</v>
      </c>
      <c r="C38" s="509"/>
      <c r="D38" s="510"/>
      <c r="E38" s="220">
        <f>SUM(E34:E37)+SUM(E30:E32)</f>
        <v>2405</v>
      </c>
      <c r="F38" s="514"/>
      <c r="G38" s="516"/>
      <c r="H38" s="516"/>
      <c r="I38" s="516"/>
      <c r="J38" s="379"/>
      <c r="K38" s="376"/>
      <c r="L38" s="222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3"/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  <c r="AZ38" s="223"/>
      <c r="BA38" s="223"/>
      <c r="BB38" s="223"/>
      <c r="BC38" s="223"/>
    </row>
    <row r="39" spans="1:55" s="226" customFormat="1" ht="23.25" x14ac:dyDescent="0.25">
      <c r="A39" s="517" t="s">
        <v>119</v>
      </c>
      <c r="B39" s="517"/>
      <c r="C39" s="517"/>
      <c r="D39" s="517"/>
      <c r="E39" s="68">
        <f>E16+E22+E27+E38</f>
        <v>5331</v>
      </c>
      <c r="F39" s="514"/>
      <c r="G39" s="515" t="s">
        <v>18</v>
      </c>
      <c r="H39" s="515"/>
      <c r="I39" s="515"/>
      <c r="J39" s="515"/>
      <c r="K39" s="142">
        <f>SUM(K31:K38)</f>
        <v>2636.75</v>
      </c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  <c r="AL39" s="223"/>
      <c r="AM39" s="223"/>
      <c r="AN39" s="223"/>
      <c r="AO39" s="223"/>
      <c r="AP39" s="223"/>
      <c r="AQ39" s="223"/>
      <c r="AR39" s="223"/>
      <c r="AS39" s="223"/>
      <c r="AT39" s="223"/>
      <c r="AU39" s="223"/>
      <c r="AV39" s="223"/>
      <c r="AW39" s="223"/>
      <c r="AX39" s="223"/>
      <c r="AY39" s="223"/>
      <c r="AZ39" s="223"/>
      <c r="BA39" s="223"/>
      <c r="BB39" s="223"/>
      <c r="BC39" s="223"/>
    </row>
    <row r="40" spans="1:55" s="226" customFormat="1" ht="18" customHeight="1" x14ac:dyDescent="0.25">
      <c r="A40" s="223"/>
      <c r="B40" s="223"/>
      <c r="C40" s="223"/>
      <c r="D40" s="223"/>
      <c r="E40" s="223"/>
      <c r="F40" s="519"/>
      <c r="G40" s="519"/>
      <c r="H40" s="519"/>
      <c r="I40" s="519"/>
      <c r="J40" s="519"/>
      <c r="K40" s="519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3"/>
      <c r="AM40" s="223"/>
      <c r="AN40" s="223"/>
      <c r="AO40" s="223"/>
      <c r="AP40" s="223"/>
      <c r="AQ40" s="223"/>
      <c r="AR40" s="223"/>
      <c r="AS40" s="223"/>
      <c r="AT40" s="223"/>
      <c r="AU40" s="223"/>
      <c r="AV40" s="223"/>
      <c r="AW40" s="223"/>
      <c r="AX40" s="223"/>
      <c r="AY40" s="223"/>
      <c r="AZ40" s="223"/>
      <c r="BA40" s="223"/>
      <c r="BB40" s="223"/>
      <c r="BC40" s="223"/>
    </row>
    <row r="41" spans="1:55" s="223" customFormat="1" ht="18" customHeight="1" x14ac:dyDescent="0.25">
      <c r="A41" s="526" t="s">
        <v>120</v>
      </c>
      <c r="B41" s="625" t="s">
        <v>90</v>
      </c>
      <c r="C41" s="626"/>
      <c r="D41" s="627"/>
      <c r="E41" s="135">
        <f>VLOOKUP(B41,'FİYAT LİSTESİ'!G:I,3,0)</f>
        <v>317</v>
      </c>
      <c r="F41" s="521" t="s">
        <v>204</v>
      </c>
      <c r="G41" s="523" t="s">
        <v>122</v>
      </c>
      <c r="H41" s="524"/>
      <c r="I41" s="524"/>
      <c r="J41" s="525"/>
      <c r="K41" s="276" t="s">
        <v>116</v>
      </c>
      <c r="L41" s="222"/>
    </row>
    <row r="42" spans="1:55" s="223" customFormat="1" ht="18" customHeight="1" x14ac:dyDescent="0.25">
      <c r="A42" s="526"/>
      <c r="B42" s="625" t="s">
        <v>91</v>
      </c>
      <c r="C42" s="626"/>
      <c r="D42" s="627"/>
      <c r="E42" s="135">
        <f>VLOOKUP(B42,'FİYAT LİSTESİ'!G:I,3,0)</f>
        <v>317</v>
      </c>
      <c r="F42" s="521"/>
      <c r="G42" s="523" t="s">
        <v>231</v>
      </c>
      <c r="H42" s="524"/>
      <c r="I42" s="524"/>
      <c r="J42" s="525"/>
      <c r="K42" s="99">
        <f>VLOOKUP(G42,'FİYAT LİSTESİ'!G:I,3,0)</f>
        <v>268</v>
      </c>
      <c r="L42" s="222"/>
    </row>
    <row r="43" spans="1:55" s="223" customFormat="1" ht="18" customHeight="1" x14ac:dyDescent="0.25">
      <c r="A43" s="526"/>
      <c r="B43" s="628" t="s">
        <v>92</v>
      </c>
      <c r="C43" s="629"/>
      <c r="D43" s="630"/>
      <c r="E43" s="135">
        <f>VLOOKUP(B43,'FİYAT LİSTESİ'!G:I,3,0)</f>
        <v>122</v>
      </c>
      <c r="F43" s="521"/>
      <c r="G43" s="523"/>
      <c r="H43" s="524"/>
      <c r="I43" s="524"/>
      <c r="J43" s="525"/>
      <c r="K43" s="99"/>
      <c r="L43" s="222"/>
    </row>
    <row r="44" spans="1:55" s="223" customFormat="1" ht="18" customHeight="1" x14ac:dyDescent="0.25">
      <c r="A44" s="526"/>
      <c r="B44" s="631" t="s">
        <v>133</v>
      </c>
      <c r="C44" s="632"/>
      <c r="D44" s="633"/>
      <c r="E44" s="135">
        <f>SUM(E41:E43)</f>
        <v>756</v>
      </c>
      <c r="F44" s="521"/>
      <c r="G44" s="523" t="s">
        <v>18</v>
      </c>
      <c r="H44" s="524"/>
      <c r="I44" s="524"/>
      <c r="J44" s="525"/>
      <c r="K44" s="99">
        <f>SUM(K42:K43)</f>
        <v>268</v>
      </c>
      <c r="L44" s="222"/>
    </row>
    <row r="45" spans="1:55" s="223" customFormat="1" x14ac:dyDescent="0.25">
      <c r="A45" s="520"/>
      <c r="B45" s="520"/>
      <c r="C45" s="520"/>
      <c r="D45" s="520"/>
      <c r="E45" s="222"/>
      <c r="F45" s="222"/>
      <c r="G45" s="222"/>
      <c r="L45" s="222"/>
    </row>
    <row r="46" spans="1:55" s="223" customFormat="1" x14ac:dyDescent="0.25">
      <c r="A46" s="222"/>
      <c r="B46" s="222"/>
      <c r="C46" s="222"/>
      <c r="D46" s="222"/>
      <c r="E46" s="222"/>
      <c r="G46" s="222"/>
      <c r="H46" s="222"/>
      <c r="I46" s="222"/>
      <c r="J46" s="222"/>
      <c r="K46" s="222"/>
      <c r="L46" s="222"/>
    </row>
    <row r="47" spans="1:55" s="223" customFormat="1" x14ac:dyDescent="0.25">
      <c r="A47" s="222"/>
      <c r="B47" s="255"/>
      <c r="C47" s="255"/>
      <c r="D47" s="255"/>
      <c r="E47" s="222"/>
      <c r="G47" s="222"/>
      <c r="H47" s="222"/>
      <c r="I47" s="222"/>
      <c r="J47" s="222"/>
      <c r="K47" s="222"/>
      <c r="L47" s="222"/>
    </row>
    <row r="48" spans="1:55" s="223" customFormat="1" x14ac:dyDescent="0.25">
      <c r="A48" s="222"/>
      <c r="B48" s="222"/>
      <c r="C48" s="222"/>
      <c r="D48" s="222"/>
      <c r="E48" s="222"/>
      <c r="G48" s="222"/>
      <c r="H48" s="222"/>
      <c r="I48" s="222"/>
      <c r="J48" s="222"/>
      <c r="K48" s="222"/>
      <c r="L48" s="222"/>
    </row>
    <row r="49" spans="1:12" s="223" customFormat="1" x14ac:dyDescent="0.25">
      <c r="A49" s="222"/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</row>
    <row r="50" spans="1:12" s="223" customFormat="1" x14ac:dyDescent="0.25">
      <c r="A50" s="222"/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</row>
    <row r="51" spans="1:12" s="223" customFormat="1" x14ac:dyDescent="0.25">
      <c r="A51" s="222"/>
      <c r="B51" s="222"/>
      <c r="C51" s="222"/>
      <c r="D51" s="222"/>
      <c r="E51" s="222"/>
      <c r="F51" s="222"/>
      <c r="G51" s="222"/>
      <c r="H51" s="222"/>
      <c r="I51" s="222"/>
      <c r="J51" s="222"/>
      <c r="K51" s="222"/>
      <c r="L51" s="222"/>
    </row>
    <row r="52" spans="1:12" s="223" customFormat="1" x14ac:dyDescent="0.25">
      <c r="A52" s="222"/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</row>
    <row r="53" spans="1:12" s="223" customFormat="1" x14ac:dyDescent="0.25">
      <c r="A53" s="222"/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</row>
    <row r="54" spans="1:12" s="223" customFormat="1" x14ac:dyDescent="0.25">
      <c r="A54" s="222"/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2"/>
    </row>
    <row r="55" spans="1:12" s="223" customFormat="1" x14ac:dyDescent="0.25">
      <c r="A55" s="222"/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</row>
    <row r="56" spans="1:12" s="223" customFormat="1" x14ac:dyDescent="0.25">
      <c r="A56" s="222"/>
      <c r="B56" s="222"/>
      <c r="C56" s="222"/>
      <c r="D56" s="222"/>
      <c r="E56" s="222"/>
      <c r="F56" s="222"/>
      <c r="G56" s="222"/>
      <c r="H56" s="222"/>
      <c r="I56" s="222"/>
      <c r="J56" s="222"/>
      <c r="K56" s="222"/>
      <c r="L56" s="222"/>
    </row>
    <row r="57" spans="1:12" s="223" customFormat="1" x14ac:dyDescent="0.25">
      <c r="A57" s="222"/>
      <c r="B57" s="222"/>
      <c r="C57" s="222"/>
      <c r="D57" s="222"/>
      <c r="E57" s="222"/>
      <c r="F57" s="222"/>
      <c r="G57" s="222"/>
      <c r="H57" s="222"/>
      <c r="I57" s="222"/>
      <c r="J57" s="222"/>
      <c r="K57" s="222"/>
      <c r="L57" s="222"/>
    </row>
    <row r="58" spans="1:12" s="223" customFormat="1" x14ac:dyDescent="0.25">
      <c r="A58" s="222"/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</row>
    <row r="59" spans="1:12" s="223" customFormat="1" x14ac:dyDescent="0.25">
      <c r="A59" s="222"/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</row>
    <row r="60" spans="1:12" s="223" customFormat="1" x14ac:dyDescent="0.25">
      <c r="A60" s="222"/>
      <c r="B60" s="222"/>
      <c r="C60" s="222"/>
      <c r="D60" s="222"/>
      <c r="E60" s="222"/>
      <c r="F60" s="222"/>
      <c r="G60" s="222"/>
      <c r="H60" s="222"/>
      <c r="I60" s="222"/>
      <c r="J60" s="222"/>
      <c r="K60" s="222"/>
      <c r="L60" s="222"/>
    </row>
    <row r="61" spans="1:12" s="223" customFormat="1" x14ac:dyDescent="0.25">
      <c r="A61" s="222"/>
      <c r="B61" s="222"/>
      <c r="C61" s="222"/>
      <c r="D61" s="222"/>
      <c r="E61" s="222"/>
      <c r="F61" s="222"/>
      <c r="G61" s="222"/>
      <c r="H61" s="222"/>
      <c r="I61" s="222"/>
      <c r="J61" s="222"/>
      <c r="K61" s="222"/>
      <c r="L61" s="222"/>
    </row>
    <row r="62" spans="1:12" s="223" customFormat="1" x14ac:dyDescent="0.25">
      <c r="A62" s="222"/>
      <c r="B62" s="222"/>
      <c r="C62" s="222"/>
      <c r="D62" s="222"/>
      <c r="E62" s="222"/>
      <c r="F62" s="222"/>
      <c r="G62" s="222"/>
      <c r="H62" s="222"/>
      <c r="I62" s="222"/>
      <c r="J62" s="222"/>
      <c r="K62" s="222"/>
      <c r="L62" s="222"/>
    </row>
    <row r="63" spans="1:12" s="223" customFormat="1" x14ac:dyDescent="0.25">
      <c r="A63" s="222"/>
      <c r="B63" s="222"/>
      <c r="C63" s="222"/>
      <c r="D63" s="222"/>
      <c r="E63" s="222"/>
      <c r="F63" s="222"/>
      <c r="G63" s="222"/>
      <c r="H63" s="222"/>
      <c r="I63" s="222"/>
      <c r="J63" s="222"/>
      <c r="K63" s="222"/>
      <c r="L63" s="222"/>
    </row>
    <row r="64" spans="1:12" s="223" customFormat="1" x14ac:dyDescent="0.25">
      <c r="A64" s="222"/>
      <c r="B64" s="222"/>
      <c r="C64" s="222"/>
      <c r="D64" s="222"/>
      <c r="E64" s="222"/>
      <c r="F64" s="222"/>
      <c r="G64" s="222"/>
      <c r="H64" s="222"/>
      <c r="I64" s="222"/>
      <c r="J64" s="222"/>
      <c r="K64" s="222"/>
      <c r="L64" s="222"/>
    </row>
    <row r="65" spans="1:12" s="223" customFormat="1" x14ac:dyDescent="0.25">
      <c r="A65" s="222"/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22"/>
    </row>
    <row r="66" spans="1:12" s="223" customFormat="1" x14ac:dyDescent="0.25">
      <c r="A66" s="222"/>
      <c r="B66" s="222"/>
      <c r="C66" s="222"/>
      <c r="D66" s="222"/>
      <c r="E66" s="222"/>
      <c r="F66" s="222"/>
      <c r="G66" s="222"/>
      <c r="H66" s="222"/>
      <c r="I66" s="222"/>
      <c r="J66" s="222"/>
      <c r="K66" s="222"/>
      <c r="L66" s="222"/>
    </row>
    <row r="67" spans="1:12" s="223" customFormat="1" x14ac:dyDescent="0.25">
      <c r="A67" s="222"/>
      <c r="B67" s="222"/>
      <c r="C67" s="222"/>
      <c r="D67" s="222"/>
      <c r="E67" s="222"/>
      <c r="F67" s="222"/>
      <c r="G67" s="222"/>
      <c r="H67" s="222"/>
      <c r="I67" s="222"/>
      <c r="J67" s="222"/>
      <c r="K67" s="222"/>
      <c r="L67" s="222"/>
    </row>
    <row r="68" spans="1:12" s="223" customFormat="1" x14ac:dyDescent="0.25">
      <c r="A68" s="222"/>
      <c r="B68" s="222"/>
      <c r="C68" s="222"/>
      <c r="D68" s="222"/>
      <c r="E68" s="222"/>
      <c r="F68" s="222"/>
      <c r="G68" s="222"/>
      <c r="H68" s="222"/>
      <c r="I68" s="222"/>
      <c r="J68" s="222"/>
      <c r="K68" s="222"/>
      <c r="L68" s="222"/>
    </row>
    <row r="69" spans="1:12" s="223" customFormat="1" x14ac:dyDescent="0.25">
      <c r="A69" s="222"/>
      <c r="B69" s="222"/>
      <c r="C69" s="222"/>
      <c r="D69" s="222"/>
      <c r="E69" s="222"/>
      <c r="F69" s="222"/>
      <c r="G69" s="222"/>
      <c r="H69" s="222"/>
      <c r="I69" s="222"/>
      <c r="J69" s="222"/>
      <c r="K69" s="222"/>
      <c r="L69" s="222"/>
    </row>
    <row r="70" spans="1:12" s="223" customFormat="1" x14ac:dyDescent="0.25">
      <c r="A70" s="222"/>
      <c r="B70" s="222"/>
      <c r="C70" s="222"/>
      <c r="D70" s="222"/>
      <c r="E70" s="222"/>
      <c r="F70" s="222"/>
      <c r="G70" s="222"/>
      <c r="H70" s="222"/>
      <c r="I70" s="222"/>
      <c r="J70" s="222"/>
      <c r="K70" s="222"/>
      <c r="L70" s="222"/>
    </row>
    <row r="71" spans="1:12" s="223" customFormat="1" x14ac:dyDescent="0.25">
      <c r="A71" s="222"/>
      <c r="B71" s="222"/>
      <c r="C71" s="222"/>
      <c r="D71" s="222"/>
      <c r="E71" s="222"/>
      <c r="F71" s="222"/>
      <c r="G71" s="222"/>
      <c r="H71" s="222"/>
      <c r="I71" s="222"/>
      <c r="J71" s="222"/>
      <c r="K71" s="222"/>
      <c r="L71" s="222"/>
    </row>
    <row r="72" spans="1:12" s="223" customFormat="1" x14ac:dyDescent="0.25">
      <c r="A72" s="222"/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</row>
    <row r="73" spans="1:12" s="223" customFormat="1" x14ac:dyDescent="0.25">
      <c r="A73" s="222"/>
      <c r="B73" s="222"/>
      <c r="C73" s="222"/>
      <c r="D73" s="222"/>
      <c r="E73" s="222"/>
      <c r="F73" s="222"/>
      <c r="G73" s="222"/>
      <c r="H73" s="222"/>
      <c r="I73" s="222"/>
      <c r="J73" s="222"/>
      <c r="K73" s="222"/>
      <c r="L73" s="222"/>
    </row>
    <row r="74" spans="1:12" s="223" customFormat="1" x14ac:dyDescent="0.25">
      <c r="A74" s="222"/>
      <c r="B74" s="222"/>
      <c r="C74" s="222"/>
      <c r="D74" s="222"/>
      <c r="E74" s="222"/>
      <c r="F74" s="222"/>
      <c r="G74" s="222"/>
      <c r="H74" s="222"/>
      <c r="I74" s="222"/>
      <c r="J74" s="222"/>
      <c r="K74" s="222"/>
      <c r="L74" s="222"/>
    </row>
    <row r="75" spans="1:12" s="223" customFormat="1" x14ac:dyDescent="0.25">
      <c r="A75" s="222"/>
      <c r="B75" s="222"/>
      <c r="C75" s="222"/>
      <c r="D75" s="222"/>
      <c r="E75" s="222"/>
      <c r="F75" s="222"/>
      <c r="G75" s="222"/>
      <c r="H75" s="222"/>
      <c r="I75" s="222"/>
      <c r="J75" s="222"/>
      <c r="K75" s="222"/>
      <c r="L75" s="222"/>
    </row>
    <row r="76" spans="1:12" s="223" customFormat="1" x14ac:dyDescent="0.25">
      <c r="A76" s="222"/>
      <c r="B76" s="222"/>
      <c r="C76" s="222"/>
      <c r="D76" s="222"/>
      <c r="E76" s="222"/>
      <c r="F76" s="222"/>
      <c r="G76" s="222"/>
      <c r="H76" s="222"/>
      <c r="I76" s="222"/>
      <c r="J76" s="222"/>
      <c r="K76" s="222"/>
      <c r="L76" s="222"/>
    </row>
    <row r="77" spans="1:12" s="223" customFormat="1" x14ac:dyDescent="0.25">
      <c r="A77" s="222"/>
      <c r="B77" s="222"/>
      <c r="C77" s="222"/>
      <c r="D77" s="222"/>
      <c r="E77" s="222"/>
      <c r="F77" s="222"/>
      <c r="G77" s="222"/>
      <c r="H77" s="222"/>
      <c r="I77" s="222"/>
      <c r="J77" s="260"/>
      <c r="K77" s="222"/>
      <c r="L77" s="222"/>
    </row>
    <row r="78" spans="1:12" s="223" customFormat="1" x14ac:dyDescent="0.25">
      <c r="A78" s="222"/>
      <c r="B78" s="222"/>
      <c r="C78" s="222"/>
      <c r="D78" s="222"/>
      <c r="E78" s="222"/>
      <c r="F78" s="222"/>
      <c r="G78" s="260"/>
      <c r="H78" s="260"/>
      <c r="I78" s="260"/>
      <c r="J78" s="260"/>
      <c r="K78" s="222"/>
      <c r="L78" s="222"/>
    </row>
    <row r="79" spans="1:12" s="223" customFormat="1" x14ac:dyDescent="0.25">
      <c r="A79" s="222"/>
      <c r="B79" s="222"/>
      <c r="C79" s="222"/>
      <c r="D79" s="222"/>
      <c r="E79" s="222"/>
      <c r="F79" s="222"/>
      <c r="G79" s="260"/>
      <c r="H79" s="260"/>
      <c r="I79" s="260"/>
      <c r="J79" s="260"/>
      <c r="K79" s="222"/>
      <c r="L79" s="222"/>
    </row>
    <row r="80" spans="1:12" s="223" customFormat="1" x14ac:dyDescent="0.25">
      <c r="A80" s="222"/>
      <c r="B80" s="222"/>
      <c r="C80" s="222"/>
      <c r="D80" s="222"/>
      <c r="E80" s="222"/>
      <c r="F80" s="261"/>
      <c r="G80" s="260"/>
      <c r="H80" s="260"/>
      <c r="I80" s="260"/>
      <c r="J80" s="260"/>
      <c r="K80" s="222"/>
      <c r="L80" s="222"/>
    </row>
    <row r="81" spans="1:12" s="223" customFormat="1" x14ac:dyDescent="0.25">
      <c r="A81" s="222"/>
      <c r="B81" s="222"/>
      <c r="C81" s="222"/>
      <c r="D81" s="222"/>
      <c r="E81" s="222"/>
      <c r="F81" s="261"/>
      <c r="G81" s="260"/>
      <c r="H81" s="260"/>
      <c r="I81" s="260"/>
      <c r="J81" s="260"/>
      <c r="K81" s="222"/>
      <c r="L81" s="222"/>
    </row>
    <row r="82" spans="1:12" x14ac:dyDescent="0.25">
      <c r="A82" s="222"/>
      <c r="B82" s="222"/>
      <c r="C82" s="222"/>
      <c r="D82" s="222"/>
      <c r="E82" s="222"/>
    </row>
    <row r="83" spans="1:12" x14ac:dyDescent="0.25">
      <c r="A83" s="222"/>
      <c r="B83" s="222"/>
      <c r="C83" s="222"/>
      <c r="D83" s="222"/>
      <c r="E83" s="222"/>
    </row>
    <row r="84" spans="1:12" x14ac:dyDescent="0.25">
      <c r="A84" s="222"/>
      <c r="B84" s="222"/>
      <c r="C84" s="222"/>
      <c r="D84" s="222"/>
      <c r="E84" s="222"/>
    </row>
    <row r="85" spans="1:12" x14ac:dyDescent="0.25">
      <c r="A85" s="222"/>
      <c r="B85" s="222"/>
      <c r="C85" s="222"/>
      <c r="D85" s="222"/>
      <c r="E85" s="222"/>
    </row>
  </sheetData>
  <sheetProtection algorithmName="SHA-512" hashValue="u2TP0qRHqPnHRgBf19byTeJ/ibVFdBQ7noE8layS8M62aq7+dY/zBEOEtNucC5zkzSBftcVYWRFRWPveZ7UwYA==" saltValue="3QfRSr9La3v10aYN/f9CZw==" spinCount="100000" sheet="1" objects="1" scenarios="1"/>
  <mergeCells count="80">
    <mergeCell ref="A45:D45"/>
    <mergeCell ref="A41:A44"/>
    <mergeCell ref="B41:D41"/>
    <mergeCell ref="B42:D42"/>
    <mergeCell ref="B43:D43"/>
    <mergeCell ref="B44:D44"/>
    <mergeCell ref="B38:D38"/>
    <mergeCell ref="A39:D39"/>
    <mergeCell ref="G39:J39"/>
    <mergeCell ref="F40:K40"/>
    <mergeCell ref="F41:F44"/>
    <mergeCell ref="G41:J41"/>
    <mergeCell ref="G42:J42"/>
    <mergeCell ref="G44:J44"/>
    <mergeCell ref="G43:J43"/>
    <mergeCell ref="A28:E28"/>
    <mergeCell ref="G28:I28"/>
    <mergeCell ref="A29:A38"/>
    <mergeCell ref="G29:I29"/>
    <mergeCell ref="F30:K30"/>
    <mergeCell ref="F31:F39"/>
    <mergeCell ref="G31:I31"/>
    <mergeCell ref="G32:I32"/>
    <mergeCell ref="G33:I33"/>
    <mergeCell ref="G34:I34"/>
    <mergeCell ref="G35:I35"/>
    <mergeCell ref="K35:K36"/>
    <mergeCell ref="G36:I36"/>
    <mergeCell ref="G37:I38"/>
    <mergeCell ref="J37:J38"/>
    <mergeCell ref="K37:K38"/>
    <mergeCell ref="C21:D21"/>
    <mergeCell ref="G21:I21"/>
    <mergeCell ref="C22:D22"/>
    <mergeCell ref="G22:J22"/>
    <mergeCell ref="A24:A27"/>
    <mergeCell ref="F24:F29"/>
    <mergeCell ref="G24:I24"/>
    <mergeCell ref="G25:I25"/>
    <mergeCell ref="G26:I26"/>
    <mergeCell ref="G27:I27"/>
    <mergeCell ref="A17:B22"/>
    <mergeCell ref="C17:D17"/>
    <mergeCell ref="F17:F22"/>
    <mergeCell ref="G17:I17"/>
    <mergeCell ref="C18:D18"/>
    <mergeCell ref="G18:I18"/>
    <mergeCell ref="C19:D19"/>
    <mergeCell ref="G19:I19"/>
    <mergeCell ref="C20:D20"/>
    <mergeCell ref="G20:I20"/>
    <mergeCell ref="A12:K12"/>
    <mergeCell ref="A13:E15"/>
    <mergeCell ref="F13:F16"/>
    <mergeCell ref="G13:K15"/>
    <mergeCell ref="A16:D16"/>
    <mergeCell ref="G16:I16"/>
    <mergeCell ref="A8:A9"/>
    <mergeCell ref="E8:E9"/>
    <mergeCell ref="F8:F9"/>
    <mergeCell ref="G8:G9"/>
    <mergeCell ref="H8:H9"/>
    <mergeCell ref="I8:I9"/>
    <mergeCell ref="J4:K4"/>
    <mergeCell ref="F5:F6"/>
    <mergeCell ref="G5:G6"/>
    <mergeCell ref="H5:H6"/>
    <mergeCell ref="I5:I6"/>
    <mergeCell ref="J5:J6"/>
    <mergeCell ref="K5:K6"/>
    <mergeCell ref="A1:K1"/>
    <mergeCell ref="A2:E3"/>
    <mergeCell ref="F2:K3"/>
    <mergeCell ref="A4:A6"/>
    <mergeCell ref="B4:B6"/>
    <mergeCell ref="C4:C6"/>
    <mergeCell ref="D4:D6"/>
    <mergeCell ref="E4:E6"/>
    <mergeCell ref="F4:G4"/>
    <mergeCell ref="H4:I4"/>
  </mergeCells>
  <pageMargins left="0.7" right="0.7" top="0.75" bottom="0.75" header="0.3" footer="0.3"/>
  <ignoredErrors>
    <ignoredError sqref="E41:E43 J28" unlockedFormula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3"/>
  <sheetViews>
    <sheetView workbookViewId="0">
      <selection sqref="A1:B2"/>
    </sheetView>
  </sheetViews>
  <sheetFormatPr defaultRowHeight="15" x14ac:dyDescent="0.25"/>
  <cols>
    <col min="1" max="1" width="17.85546875" customWidth="1"/>
    <col min="2" max="2" width="17.85546875" style="204" customWidth="1"/>
    <col min="3" max="3" width="15.5703125" style="144" customWidth="1"/>
    <col min="4" max="4" width="15.42578125" customWidth="1"/>
    <col min="5" max="5" width="14" customWidth="1"/>
    <col min="6" max="8" width="15.85546875" customWidth="1"/>
    <col min="9" max="9" width="14" customWidth="1"/>
    <col min="10" max="10" width="16.85546875" customWidth="1"/>
    <col min="11" max="11" width="17.7109375" customWidth="1"/>
    <col min="12" max="12" width="16.42578125" customWidth="1"/>
  </cols>
  <sheetData>
    <row r="1" spans="1:12" ht="15" customHeight="1" x14ac:dyDescent="0.25">
      <c r="A1" s="660" t="s">
        <v>135</v>
      </c>
      <c r="B1" s="660"/>
      <c r="C1" s="650" t="s">
        <v>240</v>
      </c>
      <c r="D1" s="651"/>
      <c r="E1" s="651"/>
      <c r="F1" s="651"/>
      <c r="G1" s="651"/>
      <c r="H1" s="652"/>
      <c r="I1" s="634" t="s">
        <v>241</v>
      </c>
      <c r="J1" s="635"/>
      <c r="K1" s="635"/>
      <c r="L1" s="635"/>
    </row>
    <row r="2" spans="1:12" ht="30.75" customHeight="1" x14ac:dyDescent="0.25">
      <c r="A2" s="660"/>
      <c r="B2" s="660"/>
      <c r="C2" s="653"/>
      <c r="D2" s="654"/>
      <c r="E2" s="654"/>
      <c r="F2" s="654"/>
      <c r="G2" s="654"/>
      <c r="H2" s="655"/>
      <c r="I2" s="636"/>
      <c r="J2" s="637"/>
      <c r="K2" s="637"/>
      <c r="L2" s="637"/>
    </row>
    <row r="3" spans="1:12" ht="15.75" customHeight="1" x14ac:dyDescent="0.25">
      <c r="A3" s="638" t="s">
        <v>238</v>
      </c>
      <c r="B3" s="660" t="s">
        <v>239</v>
      </c>
      <c r="C3" s="445" t="s">
        <v>136</v>
      </c>
      <c r="D3" s="445" t="s">
        <v>104</v>
      </c>
      <c r="E3" s="445" t="s">
        <v>152</v>
      </c>
      <c r="F3" s="445" t="s">
        <v>137</v>
      </c>
      <c r="G3" s="640" t="s">
        <v>141</v>
      </c>
      <c r="H3" s="640"/>
      <c r="I3" s="639" t="s">
        <v>138</v>
      </c>
      <c r="J3" s="639"/>
      <c r="K3" s="639" t="s">
        <v>147</v>
      </c>
      <c r="L3" s="639"/>
    </row>
    <row r="4" spans="1:12" ht="15" customHeight="1" x14ac:dyDescent="0.25">
      <c r="A4" s="638"/>
      <c r="B4" s="660"/>
      <c r="C4" s="445"/>
      <c r="D4" s="445"/>
      <c r="E4" s="445"/>
      <c r="F4" s="445"/>
      <c r="G4" s="642" t="s">
        <v>142</v>
      </c>
      <c r="H4" s="642" t="s">
        <v>143</v>
      </c>
      <c r="I4" s="420" t="s">
        <v>139</v>
      </c>
      <c r="J4" s="420" t="s">
        <v>140</v>
      </c>
      <c r="K4" s="420" t="s">
        <v>148</v>
      </c>
      <c r="L4" s="420" t="s">
        <v>149</v>
      </c>
    </row>
    <row r="5" spans="1:12" ht="15" customHeight="1" x14ac:dyDescent="0.25">
      <c r="A5" s="638"/>
      <c r="B5" s="660"/>
      <c r="C5" s="445"/>
      <c r="D5" s="445"/>
      <c r="E5" s="445"/>
      <c r="F5" s="445"/>
      <c r="G5" s="642"/>
      <c r="H5" s="642"/>
      <c r="I5" s="420"/>
      <c r="J5" s="420"/>
      <c r="K5" s="420"/>
      <c r="L5" s="420"/>
    </row>
    <row r="6" spans="1:12" ht="15.75" x14ac:dyDescent="0.25">
      <c r="A6" s="664" t="str">
        <f>'BEZ+TRİTİ_YENİ 1'!A1:K1</f>
        <v xml:space="preserve">YEM BEZELYESİ + TRİTİKALE KARIŞIMI _KABA YEM      </v>
      </c>
      <c r="B6" s="197" t="str">
        <f>'BEZ+TRİTİ_YENİ 1'!A7</f>
        <v>YEŞİL OT</v>
      </c>
      <c r="C6" s="205">
        <f>'BEZ+TRİTİ_YENİ 1'!B7</f>
        <v>1</v>
      </c>
      <c r="D6" s="336">
        <f>'BEZ+TRİTİ_YENİ 1'!C7</f>
        <v>4600</v>
      </c>
      <c r="E6" s="179"/>
      <c r="F6" s="179" t="str">
        <f>'BEZ+TRİTİ_YENİ 1'!E7</f>
        <v/>
      </c>
      <c r="G6" s="195" t="str">
        <f>'BEZ+TRİTİ_YENİ 1'!H7</f>
        <v/>
      </c>
      <c r="H6" s="195" t="str">
        <f>'BEZ+TRİTİ_YENİ 1'!I7</f>
        <v/>
      </c>
      <c r="I6" s="180">
        <f>'BEZ+TRİTİ_YENİ 1'!J7</f>
        <v>1.4543478260869565</v>
      </c>
      <c r="J6" s="180">
        <f>'BEZ+TRİTİ_YENİ 1'!K7</f>
        <v>1.2953043478260868</v>
      </c>
      <c r="K6" s="179">
        <f>'BEZ+TRİTİ_YENİ 1'!F7</f>
        <v>6690</v>
      </c>
      <c r="L6" s="179">
        <f>'BEZ+TRİTİ_YENİ 1'!G7</f>
        <v>5958.4</v>
      </c>
    </row>
    <row r="7" spans="1:12" ht="15.75" x14ac:dyDescent="0.25">
      <c r="A7" s="664"/>
      <c r="B7" s="197" t="str">
        <f>'BEZ+TRİTİ_YENİ 1'!A8</f>
        <v>KURU OT</v>
      </c>
      <c r="C7" s="205">
        <f>'BEZ+TRİTİ_YENİ 1'!B8</f>
        <v>0.32500000000000001</v>
      </c>
      <c r="D7" s="336">
        <f>'BEZ+TRİTİ_YENİ 1'!C8</f>
        <v>1495</v>
      </c>
      <c r="E7" s="179">
        <f>'BEZ+TRİTİ_YENİ 1'!D8</f>
        <v>9</v>
      </c>
      <c r="F7" s="179">
        <f>'BEZ+TRİTİ_YENİ 1'!E8</f>
        <v>13455</v>
      </c>
      <c r="G7" s="195">
        <f>'BEZ+TRİTİ_YENİ 1'!H8</f>
        <v>4409</v>
      </c>
      <c r="H7" s="195">
        <f>'BEZ+TRİTİ_YENİ 1'!I8</f>
        <v>5140.6000000000004</v>
      </c>
      <c r="I7" s="180">
        <f>'BEZ+TRİTİ_YENİ 1'!J8</f>
        <v>6.0508361204013381</v>
      </c>
      <c r="J7" s="180">
        <f>'BEZ+TRİTİ_YENİ 1'!K8</f>
        <v>5.5614715719063543</v>
      </c>
      <c r="K7" s="179">
        <f>'BEZ+TRİTİ_YENİ 1'!F8</f>
        <v>9046</v>
      </c>
      <c r="L7" s="179">
        <f>'BEZ+TRİTİ_YENİ 1'!G8</f>
        <v>8314.4</v>
      </c>
    </row>
    <row r="8" spans="1:12" ht="15.75" x14ac:dyDescent="0.25">
      <c r="A8" s="664"/>
      <c r="B8" s="197" t="str">
        <f>'BEZ+TRİTİ_YENİ 1'!A9</f>
        <v>PAKET SİLAJ</v>
      </c>
      <c r="C8" s="205">
        <f>'BEZ+TRİTİ_YENİ 1'!B9</f>
        <v>0.91</v>
      </c>
      <c r="D8" s="336">
        <f>'BEZ+TRİTİ_YENİ 1'!C9</f>
        <v>4186</v>
      </c>
      <c r="E8" s="179">
        <f>'BEZ+TRİTİ_YENİ 1'!D9</f>
        <v>3.2</v>
      </c>
      <c r="F8" s="179">
        <f>'BEZ+TRİTİ_YENİ 1'!E9</f>
        <v>13395.2</v>
      </c>
      <c r="G8" s="195">
        <f>'BEZ+TRİTİ_YENİ 1'!H9</f>
        <v>2130.0120000000006</v>
      </c>
      <c r="H8" s="195">
        <f>'BEZ+TRİTİ_YENİ 1'!I9</f>
        <v>2861.6120000000005</v>
      </c>
      <c r="I8" s="180">
        <f>'BEZ+TRİTİ_YENİ 1'!J9</f>
        <v>2.6911581462016243</v>
      </c>
      <c r="J8" s="180">
        <f>'BEZ+TRİTİ_YENİ 1'!K9</f>
        <v>2.5163850931677016</v>
      </c>
      <c r="K8" s="179">
        <f>'BEZ+TRİTİ_YENİ 1'!F9</f>
        <v>11265.188</v>
      </c>
      <c r="L8" s="179">
        <f>'BEZ+TRİTİ_YENİ 1'!G9</f>
        <v>10533.588</v>
      </c>
    </row>
    <row r="9" spans="1:12" ht="15.75" x14ac:dyDescent="0.25">
      <c r="A9" s="664"/>
      <c r="B9" s="197" t="str">
        <f>'BEZ+TRİTİ_YENİ 1'!A10</f>
        <v>DÖKME SİLAJ</v>
      </c>
      <c r="C9" s="205">
        <f>'BEZ+TRİTİ_YENİ 1'!B10</f>
        <v>0.875</v>
      </c>
      <c r="D9" s="336">
        <f>'BEZ+TRİTİ_YENİ 1'!C10</f>
        <v>4025</v>
      </c>
      <c r="E9" s="179">
        <f>'BEZ+TRİTİ_YENİ 1'!D10</f>
        <v>3</v>
      </c>
      <c r="F9" s="179">
        <f>'BEZ+TRİTİ_YENİ 1'!E10</f>
        <v>12075</v>
      </c>
      <c r="G9" s="195">
        <f>'BEZ+TRİTİ_YENİ 1'!H10</f>
        <v>2765.2374999999993</v>
      </c>
      <c r="H9" s="195">
        <f>'BEZ+TRİTİ_YENİ 1'!I10</f>
        <v>3496.8374999999992</v>
      </c>
      <c r="I9" s="180">
        <f>'BEZ+TRİTİ_YENİ 1'!J10</f>
        <v>2.3129844720496897</v>
      </c>
      <c r="J9" s="180">
        <f>'BEZ+TRİTİ_YENİ 1'!K10</f>
        <v>2.13122049689441</v>
      </c>
      <c r="K9" s="179">
        <f>'BEZ+TRİTİ_YENİ 1'!F10</f>
        <v>9309.7625000000007</v>
      </c>
      <c r="L9" s="179">
        <f>'BEZ+TRİTİ_YENİ 1'!G10</f>
        <v>8578.1625000000004</v>
      </c>
    </row>
    <row r="10" spans="1:12" ht="15.75" x14ac:dyDescent="0.25">
      <c r="A10" s="665" t="str">
        <f>'M FİĞ+TRİ YENİ l 1'!A1:K1</f>
        <v xml:space="preserve">MACAR FİĞİ + TRİTİKALE KARIŞIMI _KABA YEM      </v>
      </c>
      <c r="B10" s="198" t="str">
        <f>'M FİĞ+TRİ YENİ l 1'!A7</f>
        <v>YEŞİL OT</v>
      </c>
      <c r="C10" s="206">
        <f>'M FİĞ+TRİ YENİ l 1'!B7</f>
        <v>1</v>
      </c>
      <c r="D10" s="330">
        <f>'M FİĞ+TRİ YENİ l 1'!C7</f>
        <v>3600</v>
      </c>
      <c r="E10" s="189">
        <f>'M FİĞ+TRİ YENİ l 1'!D7</f>
        <v>0</v>
      </c>
      <c r="F10" s="189" t="str">
        <f>'M FİĞ+TRİ YENİ l 1'!E7</f>
        <v/>
      </c>
      <c r="G10" s="196" t="str">
        <f>'M FİĞ+TRİ YENİ l 1'!H7</f>
        <v/>
      </c>
      <c r="H10" s="196" t="str">
        <f>'M FİĞ+TRİ YENİ l 1'!I7</f>
        <v/>
      </c>
      <c r="I10" s="183">
        <f>'M FİĞ+TRİ YENİ l 1'!J7</f>
        <v>1.5208333333333333</v>
      </c>
      <c r="J10" s="183">
        <f>'M FİĞ+TRİ YENİ l 1'!K7</f>
        <v>1.5208333333333333</v>
      </c>
      <c r="K10" s="189">
        <f>'M FİĞ+TRİ YENİ l 1'!F7</f>
        <v>5475</v>
      </c>
      <c r="L10" s="189">
        <f>'M FİĞ+TRİ YENİ l 1'!G7</f>
        <v>5475</v>
      </c>
    </row>
    <row r="11" spans="1:12" ht="15.75" x14ac:dyDescent="0.25">
      <c r="A11" s="665"/>
      <c r="B11" s="198" t="str">
        <f>'M FİĞ+TRİ YENİ l 1'!A8</f>
        <v>KURU OT</v>
      </c>
      <c r="C11" s="206">
        <f>'M FİĞ+TRİ YENİ l 1'!B8</f>
        <v>0.32500000000000001</v>
      </c>
      <c r="D11" s="330">
        <f>'M FİĞ+TRİ YENİ l 1'!C8</f>
        <v>1170</v>
      </c>
      <c r="E11" s="189">
        <f>'M FİĞ+TRİ YENİ l 1'!D8</f>
        <v>9</v>
      </c>
      <c r="F11" s="189">
        <f>'M FİĞ+TRİ YENİ l 1'!E8</f>
        <v>10530</v>
      </c>
      <c r="G11" s="196">
        <f>'M FİĞ+TRİ YENİ l 1'!H8</f>
        <v>3196</v>
      </c>
      <c r="H11" s="196">
        <f>'M FİĞ+TRİ YENİ l 1'!I8</f>
        <v>3196</v>
      </c>
      <c r="I11" s="183">
        <f>'M FİĞ+TRİ YENİ l 1'!J8</f>
        <v>6.2683760683760683</v>
      </c>
      <c r="J11" s="183">
        <f>'M FİĞ+TRİ YENİ l 1'!K8</f>
        <v>6.2683760683760683</v>
      </c>
      <c r="K11" s="189">
        <f>'M FİĞ+TRİ YENİ l 1'!F8</f>
        <v>7334</v>
      </c>
      <c r="L11" s="189">
        <f>'M FİĞ+TRİ YENİ l 1'!G8</f>
        <v>7334</v>
      </c>
    </row>
    <row r="12" spans="1:12" ht="15.75" x14ac:dyDescent="0.25">
      <c r="A12" s="665"/>
      <c r="B12" s="198" t="str">
        <f>'M FİĞ+TRİ YENİ l 1'!A9</f>
        <v>PAKET SİLAJ</v>
      </c>
      <c r="C12" s="206">
        <f>'M FİĞ+TRİ YENİ l 1'!B9</f>
        <v>0.91</v>
      </c>
      <c r="D12" s="330">
        <f>'M FİĞ+TRİ YENİ l 1'!C9</f>
        <v>3276</v>
      </c>
      <c r="E12" s="189">
        <f>'M FİĞ+TRİ YENİ l 1'!D9</f>
        <v>3.2</v>
      </c>
      <c r="F12" s="189">
        <f>'M FİĞ+TRİ YENİ l 1'!E9</f>
        <v>10483.200000000001</v>
      </c>
      <c r="G12" s="196">
        <f>'M FİĞ+TRİ YENİ l 1'!H9</f>
        <v>1304.7920000000013</v>
      </c>
      <c r="H12" s="196">
        <f>'M FİĞ+TRİ YENİ l 1'!I9</f>
        <v>1304.7920000000013</v>
      </c>
      <c r="I12" s="183">
        <f>'M FİĞ+TRİ YENİ l 1'!J9</f>
        <v>2.8017118437118436</v>
      </c>
      <c r="J12" s="183">
        <f>'M FİĞ+TRİ YENİ l 1'!K9</f>
        <v>2.8017118437118436</v>
      </c>
      <c r="K12" s="189">
        <f>'M FİĞ+TRİ YENİ l 1'!F9</f>
        <v>9178.4079999999994</v>
      </c>
      <c r="L12" s="189">
        <f>'M FİĞ+TRİ YENİ l 1'!G9</f>
        <v>9178.4079999999994</v>
      </c>
    </row>
    <row r="13" spans="1:12" ht="15.75" x14ac:dyDescent="0.25">
      <c r="A13" s="665"/>
      <c r="B13" s="198" t="str">
        <f>'M FİĞ+TRİ YENİ l 1'!A10</f>
        <v>DÖKME SİLAJ</v>
      </c>
      <c r="C13" s="206">
        <f>'M FİĞ+TRİ YENİ l 1'!B10</f>
        <v>0.875</v>
      </c>
      <c r="D13" s="330">
        <f>'M FİĞ+TRİ YENİ l 1'!C10</f>
        <v>3150</v>
      </c>
      <c r="E13" s="189">
        <f>'M FİĞ+TRİ YENİ l 1'!D10</f>
        <v>3</v>
      </c>
      <c r="F13" s="189">
        <f>'M FİĞ+TRİ YENİ l 1'!E10</f>
        <v>9450</v>
      </c>
      <c r="G13" s="196">
        <f>'M FİĞ+TRİ YENİ l 1'!H10</f>
        <v>1801.9250000000002</v>
      </c>
      <c r="H13" s="196">
        <f>'M FİĞ+TRİ YENİ l 1'!I10</f>
        <v>1801.9250000000002</v>
      </c>
      <c r="I13" s="183">
        <f>'M FİĞ+TRİ YENİ l 1'!J10</f>
        <v>2.4279603174603173</v>
      </c>
      <c r="J13" s="183">
        <f>'M FİĞ+TRİ YENİ l 1'!K10</f>
        <v>2.4279603174603173</v>
      </c>
      <c r="K13" s="189">
        <f>'M FİĞ+TRİ YENİ l 1'!F10</f>
        <v>7648.0749999999998</v>
      </c>
      <c r="L13" s="189">
        <f>'M FİĞ+TRİ YENİ l 1'!G10</f>
        <v>7648.0749999999998</v>
      </c>
    </row>
    <row r="14" spans="1:12" ht="15.75" x14ac:dyDescent="0.25">
      <c r="A14" s="666" t="str">
        <f>'YONCA YENİ 1'!A1</f>
        <v xml:space="preserve">YONCA _KABA YEM  </v>
      </c>
      <c r="B14" s="199" t="str">
        <f>'YONCA YENİ 1'!A7</f>
        <v>YEŞİL OT</v>
      </c>
      <c r="C14" s="207">
        <f>'YONCA YENİ 1'!B7</f>
        <v>1</v>
      </c>
      <c r="D14" s="331">
        <f>'YONCA YENİ 1'!C7</f>
        <v>6200</v>
      </c>
      <c r="E14" s="190">
        <f>'YONCA YENİ 1'!D7</f>
        <v>0</v>
      </c>
      <c r="F14" s="190" t="str">
        <f>'YONCA YENİ 1'!E7</f>
        <v/>
      </c>
      <c r="G14" s="196" t="str">
        <f>'YONCA YENİ 1'!H7</f>
        <v/>
      </c>
      <c r="H14" s="196" t="str">
        <f>'YONCA YENİ 1'!I7</f>
        <v/>
      </c>
      <c r="I14" s="184">
        <f>'YONCA YENİ 1'!J7</f>
        <v>2.6887096774193546</v>
      </c>
      <c r="J14" s="184">
        <f>'YONCA YENİ 1'!K7</f>
        <v>2.5707096774193547</v>
      </c>
      <c r="K14" s="190">
        <f>'YONCA YENİ 1'!F7</f>
        <v>16670</v>
      </c>
      <c r="L14" s="190">
        <f>'YONCA YENİ 1'!G7</f>
        <v>15938.4</v>
      </c>
    </row>
    <row r="15" spans="1:12" ht="15.75" x14ac:dyDescent="0.25">
      <c r="A15" s="666"/>
      <c r="B15" s="199" t="str">
        <f>'YONCA YENİ 1'!A8</f>
        <v>KURU OT</v>
      </c>
      <c r="C15" s="207">
        <f>'YONCA YENİ 1'!B8</f>
        <v>0.32500000000000001</v>
      </c>
      <c r="D15" s="331">
        <f>'YONCA YENİ 1'!C8</f>
        <v>2015</v>
      </c>
      <c r="E15" s="190">
        <f>'YONCA YENİ 1'!D8</f>
        <v>14</v>
      </c>
      <c r="F15" s="190">
        <f>'YONCA YENİ 1'!E8</f>
        <v>28210</v>
      </c>
      <c r="G15" s="196">
        <f>'YONCA YENİ 1'!H8</f>
        <v>8419.375</v>
      </c>
      <c r="H15" s="196">
        <f>'YONCA YENİ 1'!I8</f>
        <v>9150.9750000000004</v>
      </c>
      <c r="I15" s="184">
        <f>'YONCA YENİ 1'!J8</f>
        <v>9.8216501240694782</v>
      </c>
      <c r="J15" s="184">
        <f>'YONCA YENİ 1'!K8</f>
        <v>9.4585732009925572</v>
      </c>
      <c r="K15" s="190">
        <f>'YONCA YENİ 1'!F8</f>
        <v>19790.625</v>
      </c>
      <c r="L15" s="190">
        <f>'YONCA YENİ 1'!G8</f>
        <v>19059.025000000001</v>
      </c>
    </row>
    <row r="16" spans="1:12" ht="15.75" x14ac:dyDescent="0.25">
      <c r="A16" s="666"/>
      <c r="B16" s="199" t="str">
        <f>'YONCA YENİ 1'!A9</f>
        <v>PAKET SİLAJ</v>
      </c>
      <c r="C16" s="207">
        <f>'YONCA YENİ 1'!B9</f>
        <v>0.91</v>
      </c>
      <c r="D16" s="331">
        <f>'YONCA YENİ 1'!C9</f>
        <v>5642</v>
      </c>
      <c r="E16" s="190">
        <f>'YONCA YENİ 1'!D9</f>
        <v>4.2</v>
      </c>
      <c r="F16" s="190">
        <f>'YONCA YENİ 1'!E9</f>
        <v>23696.400000000001</v>
      </c>
      <c r="G16" s="196">
        <f>'YONCA YENİ 1'!H9</f>
        <v>2196.3640000000014</v>
      </c>
      <c r="H16" s="196">
        <f>'YONCA YENİ 1'!I9</f>
        <v>2927.9640000000013</v>
      </c>
      <c r="I16" s="184">
        <f>'YONCA YENİ 1'!J9</f>
        <v>3.8107118043247077</v>
      </c>
      <c r="J16" s="184">
        <f>'YONCA YENİ 1'!K9</f>
        <v>3.681041474654378</v>
      </c>
      <c r="K16" s="190">
        <f>'YONCA YENİ 1'!F9</f>
        <v>21500.036</v>
      </c>
      <c r="L16" s="190">
        <f>'YONCA YENİ 1'!G9</f>
        <v>20768.436000000002</v>
      </c>
    </row>
    <row r="17" spans="1:12" ht="15.75" x14ac:dyDescent="0.25">
      <c r="A17" s="666"/>
      <c r="B17" s="199" t="str">
        <f>'YONCA YENİ 1'!A10</f>
        <v>DÖKME SİLAJ</v>
      </c>
      <c r="C17" s="207">
        <f>'YONCA YENİ 1'!B10</f>
        <v>0.875</v>
      </c>
      <c r="D17" s="331">
        <f>'YONCA YENİ 1'!C10</f>
        <v>5425</v>
      </c>
      <c r="E17" s="190">
        <f>'YONCA YENİ 1'!D10</f>
        <v>3.8</v>
      </c>
      <c r="F17" s="190">
        <f>'YONCA YENİ 1'!E10</f>
        <v>20615</v>
      </c>
      <c r="G17" s="196">
        <f>'YONCA YENİ 1'!H10</f>
        <v>1750.5374999999985</v>
      </c>
      <c r="H17" s="196">
        <f>'YONCA YENİ 1'!I10</f>
        <v>2482.1374999999985</v>
      </c>
      <c r="I17" s="184">
        <f>'YONCA YENİ 1'!J10</f>
        <v>3.477320276497696</v>
      </c>
      <c r="J17" s="184">
        <f>'YONCA YENİ 1'!K10</f>
        <v>3.3424631336405537</v>
      </c>
      <c r="K17" s="190">
        <f>'YONCA YENİ 1'!F10</f>
        <v>18864.462500000001</v>
      </c>
      <c r="L17" s="190">
        <f>'YONCA YENİ 1'!G10</f>
        <v>18132.862500000003</v>
      </c>
    </row>
    <row r="18" spans="1:12" ht="15" customHeight="1" x14ac:dyDescent="0.25">
      <c r="A18" s="641" t="str">
        <f>'MISIR YENİ 1'!A1:K1</f>
        <v xml:space="preserve">DANE MISIR VE CALAZI  İLE MISIR SİLAJI _KABA YEM                    </v>
      </c>
      <c r="B18" s="200" t="str">
        <f>'MISIR YENİ 1'!A7</f>
        <v>YEŞİL OT</v>
      </c>
      <c r="C18" s="181">
        <f>'MISIR YENİ 1'!B7</f>
        <v>1</v>
      </c>
      <c r="D18" s="332">
        <f>'MISIR YENİ 1'!C7</f>
        <v>6000</v>
      </c>
      <c r="E18" s="191">
        <f>'MISIR YENİ 1'!D7</f>
        <v>0</v>
      </c>
      <c r="F18" s="191" t="str">
        <f>'MISIR YENİ 1'!E7</f>
        <v/>
      </c>
      <c r="G18" s="196" t="str">
        <f>'MISIR YENİ 1'!H7</f>
        <v/>
      </c>
      <c r="H18" s="196" t="str">
        <f>'MISIR YENİ 1'!I7</f>
        <v/>
      </c>
      <c r="I18" s="185">
        <f>'MISIR YENİ 1'!J7</f>
        <v>1.6796666666666666</v>
      </c>
      <c r="J18" s="185">
        <f>'MISIR YENİ 1'!K7</f>
        <v>1.5577333333333332</v>
      </c>
      <c r="K18" s="191">
        <f>'MISIR YENİ 1'!F7</f>
        <v>10078</v>
      </c>
      <c r="L18" s="191">
        <f>'MISIR YENİ 1'!G7</f>
        <v>9346.4</v>
      </c>
    </row>
    <row r="19" spans="1:12" ht="15.75" x14ac:dyDescent="0.25">
      <c r="A19" s="641"/>
      <c r="B19" s="661" t="str">
        <f>'MISIR YENİ 1'!A8</f>
        <v>DANE MISIR+CALAZ</v>
      </c>
      <c r="C19" s="181" t="str">
        <f>'MISIR YENİ 1'!B8</f>
        <v>DANE</v>
      </c>
      <c r="D19" s="332">
        <f>'MISIR YENİ 1'!C8</f>
        <v>1400</v>
      </c>
      <c r="E19" s="191">
        <f>'MISIR YENİ 1'!D8</f>
        <v>11.5</v>
      </c>
      <c r="F19" s="645">
        <f>'MISIR YENİ 1'!E8</f>
        <v>16980</v>
      </c>
      <c r="G19" s="656">
        <f>'MISIR YENİ 1'!H8</f>
        <v>5552</v>
      </c>
      <c r="H19" s="656">
        <f>'MISIR YENİ 1'!I8</f>
        <v>6283.6</v>
      </c>
      <c r="I19" s="185"/>
      <c r="J19" s="185"/>
      <c r="K19" s="643">
        <f>'MISIR YENİ 1'!F8</f>
        <v>11428</v>
      </c>
      <c r="L19" s="643">
        <f>'MISIR YENİ 1'!G8</f>
        <v>10696.4</v>
      </c>
    </row>
    <row r="20" spans="1:12" ht="15.75" x14ac:dyDescent="0.25">
      <c r="A20" s="641"/>
      <c r="B20" s="661"/>
      <c r="C20" s="181" t="str">
        <f>'MISIR YENİ 1'!B9</f>
        <v>CALAZ</v>
      </c>
      <c r="D20" s="332">
        <f>'MISIR YENİ 1'!C9</f>
        <v>800</v>
      </c>
      <c r="E20" s="191">
        <f>'MISIR YENİ 1'!D9</f>
        <v>1.1000000000000001</v>
      </c>
      <c r="F20" s="646"/>
      <c r="G20" s="657"/>
      <c r="H20" s="657"/>
      <c r="I20" s="185"/>
      <c r="J20" s="185"/>
      <c r="K20" s="644"/>
      <c r="L20" s="644"/>
    </row>
    <row r="21" spans="1:12" ht="15.75" x14ac:dyDescent="0.25">
      <c r="A21" s="641"/>
      <c r="B21" s="200" t="str">
        <f>'MISIR YENİ 1'!A10</f>
        <v>PAKET SİLAJ</v>
      </c>
      <c r="C21" s="208">
        <f>'MISIR YENİ 1'!B10</f>
        <v>0.91</v>
      </c>
      <c r="D21" s="332">
        <f>'MISIR YENİ 1'!C10</f>
        <v>5460</v>
      </c>
      <c r="E21" s="191">
        <f>'MISIR YENİ 1'!D10</f>
        <v>4</v>
      </c>
      <c r="F21" s="191">
        <f>'MISIR YENİ 1'!E10</f>
        <v>21840</v>
      </c>
      <c r="G21" s="196">
        <f>'MISIR YENİ 1'!H10</f>
        <v>6059.32</v>
      </c>
      <c r="H21" s="196">
        <f>'MISIR YENİ 1'!I10</f>
        <v>6790.92</v>
      </c>
      <c r="I21" s="185">
        <f>'MISIR YENİ 1'!J10</f>
        <v>2.8902344322344322</v>
      </c>
      <c r="J21" s="185">
        <f>'MISIR YENİ 1'!K10</f>
        <v>2.7562417582417584</v>
      </c>
      <c r="K21" s="191">
        <f>'MISIR YENİ 1'!F10</f>
        <v>15780.68</v>
      </c>
      <c r="L21" s="191">
        <f>'MISIR YENİ 1'!G10</f>
        <v>15049.08</v>
      </c>
    </row>
    <row r="22" spans="1:12" ht="15.75" x14ac:dyDescent="0.25">
      <c r="A22" s="641"/>
      <c r="B22" s="200" t="str">
        <f>'MISIR YENİ 1'!A11</f>
        <v>DÖKME SİLAJ</v>
      </c>
      <c r="C22" s="208">
        <f>'MISIR YENİ 1'!B11</f>
        <v>0.875</v>
      </c>
      <c r="D22" s="332">
        <f>'MISIR YENİ 1'!C11</f>
        <v>5250</v>
      </c>
      <c r="E22" s="191">
        <f>'MISIR YENİ 1'!D11</f>
        <v>3.8</v>
      </c>
      <c r="F22" s="191">
        <f>'MISIR YENİ 1'!E11</f>
        <v>19950</v>
      </c>
      <c r="G22" s="196">
        <f>'MISIR YENİ 1'!H11</f>
        <v>6719.875</v>
      </c>
      <c r="H22" s="196">
        <f>'MISIR YENİ 1'!I11</f>
        <v>7451.4750000000004</v>
      </c>
      <c r="I22" s="185">
        <f>'MISIR YENİ 1'!J11</f>
        <v>2.5200238095238094</v>
      </c>
      <c r="J22" s="185">
        <f>'MISIR YENİ 1'!K11</f>
        <v>2.3806714285714285</v>
      </c>
      <c r="K22" s="191">
        <f>'MISIR YENİ 1'!F11</f>
        <v>13230.125</v>
      </c>
      <c r="L22" s="191">
        <f>'MISIR YENİ 1'!G11</f>
        <v>12498.525</v>
      </c>
    </row>
    <row r="23" spans="1:12" ht="15" customHeight="1" x14ac:dyDescent="0.25">
      <c r="A23" s="182" t="str">
        <f>'AYÇİÇEĞİ YENİ 1'!A1:K1</f>
        <v xml:space="preserve">  DANE AYÇİÇEĞİ ÜRETİMİ        </v>
      </c>
      <c r="B23" s="201" t="str">
        <f>'AYÇİÇEĞİ YENİ 1'!A7</f>
        <v>DANE AYÇİÇEĞİ</v>
      </c>
      <c r="C23" s="209"/>
      <c r="D23" s="333">
        <f>'AYÇİÇEĞİ YENİ 1'!C7</f>
        <v>275</v>
      </c>
      <c r="E23" s="192">
        <f>'AYÇİÇEĞİ YENİ 1'!D7</f>
        <v>30</v>
      </c>
      <c r="F23" s="192">
        <f>'AYÇİÇEĞİ YENİ 1'!E7</f>
        <v>8250</v>
      </c>
      <c r="G23" s="196">
        <f>'AYÇİÇEĞİ YENİ 1'!H7</f>
        <v>3069.375</v>
      </c>
      <c r="H23" s="196">
        <f>'AYÇİÇEĞİ YENİ 1'!I7</f>
        <v>3800.9749999999999</v>
      </c>
      <c r="I23" s="186">
        <f>'AYÇİÇEĞİ YENİ 1'!J7</f>
        <v>18.838636363636365</v>
      </c>
      <c r="J23" s="186">
        <f>'AYÇİÇEĞİ YENİ 1'!K7</f>
        <v>16.178272727272727</v>
      </c>
      <c r="K23" s="192">
        <f>'AYÇİÇEĞİ YENİ 1'!F7</f>
        <v>5180.625</v>
      </c>
      <c r="L23" s="192">
        <f>'AYÇİÇEĞİ YENİ 1'!G7</f>
        <v>4449.0249999999996</v>
      </c>
    </row>
    <row r="24" spans="1:12" ht="22.5" customHeight="1" x14ac:dyDescent="0.25">
      <c r="A24" s="663" t="str">
        <f>'BUĞDAY YENİ 1'!A1:K1</f>
        <v xml:space="preserve">DANE BUĞDAY VE BUĞDAY SAPI İLE BUĞDAY HASILI SİLAJI _KABA YEM </v>
      </c>
      <c r="B24" s="202" t="str">
        <f>'BUĞDAY YENİ 1'!A7</f>
        <v>YEŞİL OT</v>
      </c>
      <c r="C24" s="210">
        <f>'BUĞDAY YENİ 1'!B7</f>
        <v>1</v>
      </c>
      <c r="D24" s="334">
        <f>'BUĞDAY YENİ 1'!C7</f>
        <v>4000</v>
      </c>
      <c r="E24" s="193">
        <f>'BUĞDAY YENİ 1'!D7</f>
        <v>0</v>
      </c>
      <c r="F24" s="193" t="str">
        <f>'BUĞDAY YENİ 1'!E7</f>
        <v/>
      </c>
      <c r="G24" s="196" t="str">
        <f>'BUĞDAY YENİ 1'!H7</f>
        <v/>
      </c>
      <c r="H24" s="196" t="str">
        <f>'BUĞDAY YENİ 1'!I7</f>
        <v/>
      </c>
      <c r="I24" s="187">
        <f>'BUĞDAY YENİ 1'!J7</f>
        <v>1.39975</v>
      </c>
      <c r="J24" s="187">
        <f>'BUĞDAY YENİ 1'!K7</f>
        <v>1.21075</v>
      </c>
      <c r="K24" s="193">
        <f>'BUĞDAY YENİ 1'!F7</f>
        <v>5599</v>
      </c>
      <c r="L24" s="193">
        <f>'BUĞDAY YENİ 1'!G7</f>
        <v>4843</v>
      </c>
    </row>
    <row r="25" spans="1:12" ht="15.75" x14ac:dyDescent="0.25">
      <c r="A25" s="663"/>
      <c r="B25" s="662" t="str">
        <f>'BUĞDAY YENİ 1'!A8</f>
        <v>DANE BUĞDAY+SAP</v>
      </c>
      <c r="C25" s="210" t="str">
        <f>'BUĞDAY YENİ 1'!B8</f>
        <v>DANE</v>
      </c>
      <c r="D25" s="334">
        <f>'BUĞDAY YENİ 1'!C8</f>
        <v>550</v>
      </c>
      <c r="E25" s="193">
        <f>'BUĞDAY YENİ 1'!D8</f>
        <v>13</v>
      </c>
      <c r="F25" s="667">
        <f>'BUĞDAY YENİ 1'!E8</f>
        <v>7535</v>
      </c>
      <c r="G25" s="671">
        <f>'BUĞDAY YENİ 1'!H8</f>
        <v>1716</v>
      </c>
      <c r="H25" s="671">
        <f>'BUĞDAY YENİ 1'!I8</f>
        <v>2472</v>
      </c>
      <c r="I25" s="187"/>
      <c r="J25" s="187"/>
      <c r="K25" s="667">
        <f>'BUĞDAY YENİ 1'!F8</f>
        <v>5819</v>
      </c>
      <c r="L25" s="667">
        <f>'BUĞDAY YENİ 1'!G8</f>
        <v>5063</v>
      </c>
    </row>
    <row r="26" spans="1:12" ht="15.75" x14ac:dyDescent="0.25">
      <c r="A26" s="663"/>
      <c r="B26" s="662"/>
      <c r="C26" s="210" t="str">
        <f>'BUĞDAY YENİ 1'!B9</f>
        <v>SAP</v>
      </c>
      <c r="D26" s="334">
        <f>'BUĞDAY YENİ 1'!C9</f>
        <v>350</v>
      </c>
      <c r="E26" s="193">
        <f>'BUĞDAY YENİ 1'!D9</f>
        <v>1.1000000000000001</v>
      </c>
      <c r="F26" s="668"/>
      <c r="G26" s="672"/>
      <c r="H26" s="672"/>
      <c r="I26" s="187"/>
      <c r="J26" s="187"/>
      <c r="K26" s="668"/>
      <c r="L26" s="668"/>
    </row>
    <row r="27" spans="1:12" ht="15.75" x14ac:dyDescent="0.25">
      <c r="A27" s="663"/>
      <c r="B27" s="202" t="str">
        <f>'BUĞDAY YENİ 1'!A10</f>
        <v>PAKET SİLAJ</v>
      </c>
      <c r="C27" s="210">
        <f>'BUĞDAY YENİ 1'!B10</f>
        <v>0.91</v>
      </c>
      <c r="D27" s="334">
        <f>'BUĞDAY YENİ 1'!C10</f>
        <v>3640</v>
      </c>
      <c r="E27" s="193">
        <f>'BUĞDAY YENİ 1'!D10</f>
        <v>3.2</v>
      </c>
      <c r="F27" s="193">
        <f>'BUĞDAY YENİ 1'!E10</f>
        <v>11648</v>
      </c>
      <c r="G27" s="196">
        <f>'BUĞDAY YENİ 1'!H10</f>
        <v>1979.880000000001</v>
      </c>
      <c r="H27" s="196">
        <f>'BUĞDAY YENİ 1'!I10</f>
        <v>2735.880000000001</v>
      </c>
      <c r="I27" s="187">
        <f>'BUĞDAY YENİ 1'!J10</f>
        <v>2.656076923076923</v>
      </c>
      <c r="J27" s="187">
        <f>'BUĞDAY YENİ 1'!K10</f>
        <v>2.4483846153846152</v>
      </c>
      <c r="K27" s="193">
        <f>'BUĞDAY YENİ 1'!F10</f>
        <v>9668.119999999999</v>
      </c>
      <c r="L27" s="193">
        <f>'BUĞDAY YENİ 1'!G10</f>
        <v>8912.119999999999</v>
      </c>
    </row>
    <row r="28" spans="1:12" ht="15.75" x14ac:dyDescent="0.25">
      <c r="A28" s="663"/>
      <c r="B28" s="202" t="str">
        <f>'BUĞDAY YENİ 1'!A11</f>
        <v>DÖKME SİLAJ</v>
      </c>
      <c r="C28" s="210">
        <f>'BUĞDAY YENİ 1'!B11</f>
        <v>0.875</v>
      </c>
      <c r="D28" s="334">
        <f>'BUĞDAY YENİ 1'!C11</f>
        <v>3500</v>
      </c>
      <c r="E28" s="193">
        <f>'BUĞDAY YENİ 1'!D11</f>
        <v>3</v>
      </c>
      <c r="F28" s="193">
        <f>'BUĞDAY YENİ 1'!E11</f>
        <v>10500</v>
      </c>
      <c r="G28" s="196">
        <f>'BUĞDAY YENİ 1'!H11</f>
        <v>2532.25</v>
      </c>
      <c r="H28" s="196">
        <f>'BUĞDAY YENİ 1'!I11</f>
        <v>3288.25</v>
      </c>
      <c r="I28" s="187">
        <f>'BUĞDAY YENİ 1'!J11</f>
        <v>2.2765</v>
      </c>
      <c r="J28" s="187">
        <f>'BUĞDAY YENİ 1'!K11</f>
        <v>2.0605000000000002</v>
      </c>
      <c r="K28" s="193">
        <f>'BUĞDAY YENİ 1'!F11</f>
        <v>7967.75</v>
      </c>
      <c r="L28" s="193">
        <f>'BUĞDAY YENİ 1'!G11</f>
        <v>7211.75</v>
      </c>
    </row>
    <row r="29" spans="1:12" ht="15.75" x14ac:dyDescent="0.25">
      <c r="A29" s="647" t="str">
        <f>'ARPA YENİ 1'!A1:K1</f>
        <v xml:space="preserve">DANE ARPA VE ARPA SAPI İLE ARPA HASILI SİLAJI _KABA YEM          </v>
      </c>
      <c r="B29" s="203" t="str">
        <f>'ARPA YENİ 1'!A7</f>
        <v>YEŞİL OT</v>
      </c>
      <c r="C29" s="211">
        <f>'ARPA YENİ 1'!B7</f>
        <v>1</v>
      </c>
      <c r="D29" s="335">
        <f>'ARPA YENİ 1'!C7</f>
        <v>4000</v>
      </c>
      <c r="E29" s="194">
        <f>'ARPA YENİ 1'!D7</f>
        <v>0</v>
      </c>
      <c r="F29" s="194" t="str">
        <f>'ARPA YENİ 1'!E7</f>
        <v/>
      </c>
      <c r="G29" s="196" t="str">
        <f>'ARPA YENİ 1'!H7</f>
        <v/>
      </c>
      <c r="H29" s="196" t="str">
        <f>'ARPA YENİ 1'!I7</f>
        <v/>
      </c>
      <c r="I29" s="188">
        <f>'ARPA YENİ 1'!J7</f>
        <v>1.39975</v>
      </c>
      <c r="J29" s="188">
        <f>'ARPA YENİ 1'!K7</f>
        <v>1.21075</v>
      </c>
      <c r="K29" s="194">
        <f>'ARPA YENİ 1'!F7</f>
        <v>5599</v>
      </c>
      <c r="L29" s="194">
        <f>'ARPA YENİ 1'!G7</f>
        <v>4843</v>
      </c>
    </row>
    <row r="30" spans="1:12" ht="15.75" x14ac:dyDescent="0.25">
      <c r="A30" s="647"/>
      <c r="B30" s="648" t="str">
        <f>'ARPA YENİ 1'!A8</f>
        <v>DANE ARPA+SAP</v>
      </c>
      <c r="C30" s="211" t="str">
        <f>'ARPA YENİ 1'!B8</f>
        <v>DANE</v>
      </c>
      <c r="D30" s="335">
        <f>'ARPA YENİ 1'!C8</f>
        <v>450</v>
      </c>
      <c r="E30" s="194">
        <f>'ARPA YENİ 1'!D8</f>
        <v>11.5</v>
      </c>
      <c r="F30" s="658">
        <f>'ARPA YENİ 1'!E8</f>
        <v>5560</v>
      </c>
      <c r="G30" s="656">
        <f>'ARPA YENİ 1'!H8</f>
        <v>-219</v>
      </c>
      <c r="H30" s="656">
        <f>'ARPA YENİ 1'!I8</f>
        <v>537</v>
      </c>
      <c r="I30" s="188"/>
      <c r="J30" s="188"/>
      <c r="K30" s="669">
        <f>'ARPA YENİ 1'!F8</f>
        <v>5779</v>
      </c>
      <c r="L30" s="669">
        <f>'ARPA YENİ 1'!G8</f>
        <v>5023</v>
      </c>
    </row>
    <row r="31" spans="1:12" ht="15.75" x14ac:dyDescent="0.25">
      <c r="A31" s="647"/>
      <c r="B31" s="649"/>
      <c r="C31" s="211" t="str">
        <f>'ARPA YENİ 1'!B9</f>
        <v>SAP</v>
      </c>
      <c r="D31" s="335">
        <f>'ARPA YENİ 1'!C9</f>
        <v>350</v>
      </c>
      <c r="E31" s="194">
        <f>'ARPA YENİ 1'!D9</f>
        <v>1.1000000000000001</v>
      </c>
      <c r="F31" s="659"/>
      <c r="G31" s="657"/>
      <c r="H31" s="657"/>
      <c r="I31" s="188"/>
      <c r="J31" s="188"/>
      <c r="K31" s="670"/>
      <c r="L31" s="670"/>
    </row>
    <row r="32" spans="1:12" ht="15.75" x14ac:dyDescent="0.25">
      <c r="A32" s="647"/>
      <c r="B32" s="203" t="str">
        <f>'ARPA YENİ 1'!A10</f>
        <v>PAKET SİLAJ</v>
      </c>
      <c r="C32" s="211">
        <f>'ARPA YENİ 1'!B10</f>
        <v>0.91</v>
      </c>
      <c r="D32" s="335">
        <f>'ARPA YENİ 1'!C10</f>
        <v>3640</v>
      </c>
      <c r="E32" s="194">
        <f>'ARPA YENİ 1'!D10</f>
        <v>3.2</v>
      </c>
      <c r="F32" s="194">
        <f>'ARPA YENİ 1'!E10</f>
        <v>11648</v>
      </c>
      <c r="G32" s="196">
        <f>'ARPA YENİ 1'!H10</f>
        <v>1979.880000000001</v>
      </c>
      <c r="H32" s="196">
        <f>'ARPA YENİ 1'!I10</f>
        <v>2735.880000000001</v>
      </c>
      <c r="I32" s="188">
        <f>'ARPA YENİ 1'!J10</f>
        <v>2.656076923076923</v>
      </c>
      <c r="J32" s="188">
        <f>'ARPA YENİ 1'!K10</f>
        <v>2.4483846153846152</v>
      </c>
      <c r="K32" s="194">
        <f>'ARPA YENİ 1'!F10</f>
        <v>9668.119999999999</v>
      </c>
      <c r="L32" s="194">
        <f>'ARPA YENİ 1'!G10</f>
        <v>8912.119999999999</v>
      </c>
    </row>
    <row r="33" spans="1:12" ht="15.75" x14ac:dyDescent="0.25">
      <c r="A33" s="647"/>
      <c r="B33" s="203" t="str">
        <f>'ARPA YENİ 1'!A11</f>
        <v>DÖKME SİLAJ</v>
      </c>
      <c r="C33" s="211">
        <f>'ARPA YENİ 1'!B11</f>
        <v>0.875</v>
      </c>
      <c r="D33" s="335">
        <f>'ARPA YENİ 1'!C11</f>
        <v>3500</v>
      </c>
      <c r="E33" s="194">
        <f>'ARPA YENİ 1'!D11</f>
        <v>3</v>
      </c>
      <c r="F33" s="194">
        <f>'ARPA YENİ 1'!E11</f>
        <v>10500</v>
      </c>
      <c r="G33" s="196">
        <f>'ARPA YENİ 1'!H11</f>
        <v>2532.25</v>
      </c>
      <c r="H33" s="196">
        <f>'ARPA YENİ 1'!I11</f>
        <v>3288.25</v>
      </c>
      <c r="I33" s="188">
        <f>'ARPA YENİ 1'!J11</f>
        <v>2.2765</v>
      </c>
      <c r="J33" s="188">
        <f>'ARPA YENİ 1'!K11</f>
        <v>2.0605000000000002</v>
      </c>
      <c r="K33" s="194">
        <f>'ARPA YENİ 1'!F11</f>
        <v>7967.75</v>
      </c>
      <c r="L33" s="194">
        <f>'ARPA YENİ 1'!G11</f>
        <v>7211.75</v>
      </c>
    </row>
  </sheetData>
  <mergeCells count="42">
    <mergeCell ref="F25:F26"/>
    <mergeCell ref="K30:K31"/>
    <mergeCell ref="L30:L31"/>
    <mergeCell ref="K25:K26"/>
    <mergeCell ref="L25:L26"/>
    <mergeCell ref="G25:G26"/>
    <mergeCell ref="H25:H26"/>
    <mergeCell ref="A29:A33"/>
    <mergeCell ref="B30:B31"/>
    <mergeCell ref="C1:H2"/>
    <mergeCell ref="G30:G31"/>
    <mergeCell ref="H30:H31"/>
    <mergeCell ref="F30:F31"/>
    <mergeCell ref="G19:G20"/>
    <mergeCell ref="H19:H20"/>
    <mergeCell ref="A1:B2"/>
    <mergeCell ref="B3:B5"/>
    <mergeCell ref="B19:B20"/>
    <mergeCell ref="B25:B26"/>
    <mergeCell ref="A24:A28"/>
    <mergeCell ref="A6:A9"/>
    <mergeCell ref="A10:A13"/>
    <mergeCell ref="A14:A17"/>
    <mergeCell ref="A18:A22"/>
    <mergeCell ref="K4:K5"/>
    <mergeCell ref="L4:L5"/>
    <mergeCell ref="G4:G5"/>
    <mergeCell ref="H4:H5"/>
    <mergeCell ref="I4:I5"/>
    <mergeCell ref="J4:J5"/>
    <mergeCell ref="K19:K20"/>
    <mergeCell ref="L19:L20"/>
    <mergeCell ref="F19:F20"/>
    <mergeCell ref="I1:L2"/>
    <mergeCell ref="A3:A5"/>
    <mergeCell ref="C3:C5"/>
    <mergeCell ref="D3:D5"/>
    <mergeCell ref="E3:E5"/>
    <mergeCell ref="F3:F5"/>
    <mergeCell ref="K3:L3"/>
    <mergeCell ref="G3:H3"/>
    <mergeCell ref="I3:J3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pageSetUpPr fitToPage="1"/>
  </sheetPr>
  <dimension ref="A1:H59"/>
  <sheetViews>
    <sheetView showGridLines="0"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8" customWidth="1"/>
    <col min="2" max="2" width="22.7109375" customWidth="1"/>
    <col min="3" max="3" width="9.140625" customWidth="1"/>
    <col min="4" max="4" width="38.7109375" customWidth="1"/>
    <col min="5" max="5" width="42.7109375" customWidth="1"/>
    <col min="6" max="6" width="18.85546875" customWidth="1"/>
    <col min="7" max="7" width="15.85546875" customWidth="1"/>
    <col min="8" max="8" width="18.42578125" customWidth="1"/>
  </cols>
  <sheetData>
    <row r="1" spans="1:8" ht="15" customHeight="1" x14ac:dyDescent="0.25">
      <c r="D1" s="673" t="s">
        <v>10</v>
      </c>
      <c r="E1" s="674"/>
      <c r="F1" s="674"/>
      <c r="G1" s="674"/>
      <c r="H1" s="675"/>
    </row>
    <row r="2" spans="1:8" ht="26.25" customHeight="1" x14ac:dyDescent="0.25">
      <c r="B2" s="3"/>
      <c r="C2" s="3"/>
      <c r="D2" s="676"/>
      <c r="E2" s="677"/>
      <c r="F2" s="677"/>
      <c r="G2" s="677"/>
      <c r="H2" s="678"/>
    </row>
    <row r="3" spans="1:8" ht="15.75" customHeight="1" x14ac:dyDescent="0.25">
      <c r="A3" s="4"/>
      <c r="B3" s="3"/>
      <c r="C3" s="3"/>
      <c r="D3" s="679"/>
      <c r="E3" s="680"/>
      <c r="F3" s="680"/>
      <c r="G3" s="680"/>
      <c r="H3" s="681"/>
    </row>
    <row r="4" spans="1:8" ht="18.75" customHeight="1" x14ac:dyDescent="0.25">
      <c r="D4" s="31"/>
    </row>
    <row r="5" spans="1:8" ht="15" customHeight="1" x14ac:dyDescent="0.25">
      <c r="D5" s="682"/>
      <c r="E5" s="682"/>
    </row>
    <row r="6" spans="1:8" ht="15.75" x14ac:dyDescent="0.25">
      <c r="D6" s="6"/>
      <c r="E6" s="14" t="s">
        <v>78</v>
      </c>
    </row>
    <row r="7" spans="1:8" ht="18.75" x14ac:dyDescent="0.25">
      <c r="D7" s="22"/>
      <c r="E7" s="23"/>
    </row>
    <row r="8" spans="1:8" ht="15.75" x14ac:dyDescent="0.25">
      <c r="E8" s="47" t="s">
        <v>80</v>
      </c>
    </row>
    <row r="9" spans="1:8" ht="17.25" x14ac:dyDescent="0.25">
      <c r="D9" s="19"/>
      <c r="E9" s="19"/>
    </row>
    <row r="10" spans="1:8" ht="15.75" x14ac:dyDescent="0.25">
      <c r="D10" s="6"/>
      <c r="E10" s="14" t="s">
        <v>11</v>
      </c>
    </row>
    <row r="11" spans="1:8" ht="18.75" customHeight="1" x14ac:dyDescent="0.25">
      <c r="D11" s="6"/>
      <c r="E11" s="7"/>
    </row>
    <row r="12" spans="1:8" ht="15.75" x14ac:dyDescent="0.25">
      <c r="E12" s="14" t="s">
        <v>12</v>
      </c>
    </row>
    <row r="14" spans="1:8" x14ac:dyDescent="0.25">
      <c r="E14" t="s">
        <v>79</v>
      </c>
    </row>
    <row r="15" spans="1:8" ht="18.75" customHeight="1" x14ac:dyDescent="0.25"/>
    <row r="16" spans="1:8" ht="17.25" customHeight="1" x14ac:dyDescent="0.25">
      <c r="D16" s="683"/>
      <c r="E16" s="683"/>
      <c r="F16" s="683"/>
      <c r="G16" s="683"/>
    </row>
    <row r="17" spans="4:8" ht="15.75" x14ac:dyDescent="0.25">
      <c r="D17" s="15"/>
      <c r="E17" s="15"/>
      <c r="F17" s="15"/>
      <c r="G17" s="15"/>
    </row>
    <row r="18" spans="4:8" x14ac:dyDescent="0.25">
      <c r="D18" s="6"/>
      <c r="E18" s="7"/>
      <c r="F18" s="6"/>
      <c r="G18" s="7"/>
    </row>
    <row r="19" spans="4:8" x14ac:dyDescent="0.25">
      <c r="D19" s="6"/>
      <c r="E19" s="13"/>
      <c r="F19" s="6"/>
      <c r="G19" s="7"/>
    </row>
    <row r="20" spans="4:8" ht="18.75" x14ac:dyDescent="0.25">
      <c r="D20" s="22"/>
      <c r="E20" s="23"/>
      <c r="F20" s="22"/>
      <c r="G20" s="23"/>
    </row>
    <row r="21" spans="4:8" ht="18.75" customHeight="1" x14ac:dyDescent="0.25"/>
    <row r="22" spans="4:8" ht="17.25" customHeight="1" x14ac:dyDescent="0.25">
      <c r="D22" s="682"/>
      <c r="E22" s="682"/>
      <c r="F22" s="682"/>
      <c r="G22" s="682"/>
    </row>
    <row r="23" spans="4:8" ht="15.75" x14ac:dyDescent="0.25">
      <c r="D23" s="15"/>
      <c r="E23" s="15"/>
      <c r="F23" s="15"/>
      <c r="G23" s="15"/>
    </row>
    <row r="24" spans="4:8" x14ac:dyDescent="0.25">
      <c r="D24" s="16"/>
      <c r="E24" s="13"/>
      <c r="F24" s="6"/>
      <c r="G24" s="7"/>
    </row>
    <row r="25" spans="4:8" x14ac:dyDescent="0.25">
      <c r="D25" s="6"/>
      <c r="E25" s="7"/>
      <c r="F25" s="6"/>
      <c r="G25" s="7"/>
    </row>
    <row r="26" spans="4:8" x14ac:dyDescent="0.25">
      <c r="D26" s="6"/>
      <c r="E26" s="7"/>
      <c r="F26" s="6"/>
      <c r="G26" s="7"/>
    </row>
    <row r="27" spans="4:8" ht="18.75" x14ac:dyDescent="0.25">
      <c r="D27" s="22"/>
      <c r="E27" s="23"/>
      <c r="F27" s="22"/>
      <c r="G27" s="23"/>
    </row>
    <row r="28" spans="4:8" ht="18.75" x14ac:dyDescent="0.3">
      <c r="D28" s="24"/>
      <c r="E28" s="25"/>
      <c r="F28" s="4"/>
      <c r="G28" s="26"/>
      <c r="H28" s="8"/>
    </row>
    <row r="29" spans="4:8" ht="15.75" x14ac:dyDescent="0.25">
      <c r="D29" s="24"/>
      <c r="E29" s="24"/>
      <c r="F29" s="24"/>
      <c r="G29" s="27"/>
      <c r="H29" s="8"/>
    </row>
    <row r="30" spans="4:8" ht="15.75" x14ac:dyDescent="0.25">
      <c r="D30" s="24"/>
      <c r="E30" s="24"/>
      <c r="F30" s="24"/>
      <c r="G30" s="27"/>
      <c r="H30" s="8"/>
    </row>
    <row r="31" spans="4:8" ht="15.75" x14ac:dyDescent="0.25">
      <c r="D31" s="24"/>
      <c r="E31" s="24"/>
      <c r="F31" s="24"/>
      <c r="G31" s="27"/>
      <c r="H31" s="8"/>
    </row>
    <row r="32" spans="4:8" ht="18.75" customHeight="1" x14ac:dyDescent="0.25"/>
    <row r="33" spans="4:8" ht="17.25" customHeight="1" x14ac:dyDescent="0.25">
      <c r="D33" s="682"/>
      <c r="E33" s="682"/>
    </row>
    <row r="34" spans="4:8" ht="15.75" x14ac:dyDescent="0.25">
      <c r="D34" s="15"/>
      <c r="E34" s="15"/>
    </row>
    <row r="35" spans="4:8" x14ac:dyDescent="0.25">
      <c r="D35" s="6"/>
      <c r="E35" s="7"/>
    </row>
    <row r="36" spans="4:8" x14ac:dyDescent="0.25">
      <c r="D36" s="6"/>
      <c r="E36" s="7"/>
    </row>
    <row r="37" spans="4:8" x14ac:dyDescent="0.25">
      <c r="D37" s="6"/>
      <c r="E37" s="7"/>
    </row>
    <row r="38" spans="4:8" ht="18.75" x14ac:dyDescent="0.25">
      <c r="D38" s="22"/>
      <c r="E38" s="23"/>
    </row>
    <row r="39" spans="4:8" ht="18.75" customHeight="1" x14ac:dyDescent="0.25"/>
    <row r="40" spans="4:8" ht="39.950000000000003" customHeight="1" x14ac:dyDescent="0.25">
      <c r="D40" s="684"/>
      <c r="E40" s="685"/>
      <c r="F40" s="685"/>
      <c r="G40" s="685"/>
      <c r="H40" s="685"/>
    </row>
    <row r="41" spans="4:8" ht="15.75" customHeight="1" x14ac:dyDescent="0.25">
      <c r="D41" s="15"/>
      <c r="E41" s="15"/>
      <c r="F41" s="17"/>
      <c r="G41" s="17"/>
      <c r="H41" s="28"/>
    </row>
    <row r="42" spans="4:8" ht="15.75" x14ac:dyDescent="0.25">
      <c r="D42" s="16"/>
      <c r="E42" s="21"/>
      <c r="F42" s="18"/>
      <c r="G42" s="20"/>
      <c r="H42" s="29"/>
    </row>
    <row r="43" spans="4:8" ht="18.75" customHeight="1" x14ac:dyDescent="0.25">
      <c r="D43" s="9"/>
      <c r="E43" s="10"/>
      <c r="F43" s="11"/>
      <c r="G43" s="10"/>
      <c r="H43" s="12"/>
    </row>
    <row r="44" spans="4:8" ht="18.75" customHeight="1" x14ac:dyDescent="0.25">
      <c r="D44" s="684"/>
      <c r="E44" s="685"/>
      <c r="F44" s="685"/>
      <c r="G44" s="685"/>
      <c r="H44" s="685"/>
    </row>
    <row r="45" spans="4:8" ht="17.25" x14ac:dyDescent="0.25">
      <c r="D45" s="15"/>
      <c r="E45" s="15"/>
      <c r="F45" s="17"/>
      <c r="G45" s="17"/>
      <c r="H45" s="28"/>
    </row>
    <row r="46" spans="4:8" ht="15" customHeight="1" x14ac:dyDescent="0.25">
      <c r="D46" s="16"/>
      <c r="E46" s="21"/>
      <c r="F46" s="18"/>
      <c r="G46" s="20"/>
      <c r="H46" s="29"/>
    </row>
    <row r="47" spans="4:8" ht="18.75" customHeight="1" x14ac:dyDescent="0.25">
      <c r="F47" s="5"/>
      <c r="G47" s="5"/>
      <c r="H47" s="5"/>
    </row>
    <row r="48" spans="4:8" ht="17.25" customHeight="1" x14ac:dyDescent="0.25">
      <c r="D48" s="684"/>
      <c r="E48" s="685"/>
      <c r="F48" s="685"/>
      <c r="G48" s="685"/>
    </row>
    <row r="49" spans="4:8" ht="17.25" x14ac:dyDescent="0.25">
      <c r="D49" s="15"/>
      <c r="E49" s="15"/>
      <c r="F49" s="17"/>
      <c r="G49" s="28"/>
    </row>
    <row r="50" spans="4:8" ht="15.75" x14ac:dyDescent="0.25">
      <c r="D50" s="16"/>
      <c r="E50" s="20"/>
      <c r="F50" s="18"/>
      <c r="G50" s="29"/>
    </row>
    <row r="51" spans="4:8" ht="18.75" customHeight="1" x14ac:dyDescent="0.25">
      <c r="D51" s="9"/>
      <c r="E51" s="10"/>
      <c r="F51" s="11"/>
      <c r="G51" s="12"/>
    </row>
    <row r="52" spans="4:8" ht="17.25" customHeight="1" x14ac:dyDescent="0.25">
      <c r="D52" s="684"/>
      <c r="E52" s="685"/>
      <c r="F52" s="685"/>
      <c r="G52" s="685"/>
    </row>
    <row r="53" spans="4:8" ht="17.25" x14ac:dyDescent="0.25">
      <c r="D53" s="15"/>
      <c r="E53" s="15"/>
      <c r="F53" s="17"/>
      <c r="G53" s="28"/>
    </row>
    <row r="54" spans="4:8" ht="15.75" x14ac:dyDescent="0.25">
      <c r="D54" s="16"/>
      <c r="E54" s="20"/>
      <c r="F54" s="18"/>
      <c r="G54" s="29"/>
    </row>
    <row r="55" spans="4:8" ht="18.75" customHeight="1" x14ac:dyDescent="0.25"/>
    <row r="56" spans="4:8" ht="18.75" x14ac:dyDescent="0.3">
      <c r="D56" s="30"/>
      <c r="H56" s="1"/>
    </row>
    <row r="57" spans="4:8" x14ac:dyDescent="0.25">
      <c r="D57" s="30"/>
    </row>
    <row r="59" spans="4:8" x14ac:dyDescent="0.25">
      <c r="D59" s="2"/>
      <c r="E59" s="2"/>
    </row>
  </sheetData>
  <sheetProtection sheet="1" objects="1" scenarios="1"/>
  <mergeCells count="10">
    <mergeCell ref="D33:E33"/>
    <mergeCell ref="D40:H40"/>
    <mergeCell ref="D44:H44"/>
    <mergeCell ref="D48:G48"/>
    <mergeCell ref="D52:G52"/>
    <mergeCell ref="D1:H3"/>
    <mergeCell ref="D5:E5"/>
    <mergeCell ref="D16:G16"/>
    <mergeCell ref="D22:E22"/>
    <mergeCell ref="F22:G22"/>
  </mergeCells>
  <pageMargins left="0.19685039370078741" right="0.70866141732283461" top="0.19685039370078741" bottom="0.19685039370078741" header="0.19685039370078741" footer="0.19685039370078741"/>
  <pageSetup paperSize="9" scale="65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E35"/>
  <sheetViews>
    <sheetView showGridLines="0" zoomScale="85" zoomScaleNormal="85" workbookViewId="0">
      <pane ySplit="1" topLeftCell="A4" activePane="bottomLeft" state="frozen"/>
      <selection pane="bottomLeft" activeCell="A4" sqref="A4"/>
    </sheetView>
  </sheetViews>
  <sheetFormatPr defaultColWidth="9.140625" defaultRowHeight="15" x14ac:dyDescent="0.25"/>
  <cols>
    <col min="1" max="1" width="47.140625" style="32" customWidth="1"/>
    <col min="2" max="2" width="20.85546875" style="32" bestFit="1" customWidth="1"/>
    <col min="3" max="3" width="29" style="32" bestFit="1" customWidth="1"/>
    <col min="4" max="4" width="36" style="32" bestFit="1" customWidth="1"/>
    <col min="5" max="5" width="36" style="32" customWidth="1"/>
    <col min="6" max="6" width="13.28515625" style="32" customWidth="1"/>
    <col min="7" max="7" width="14.28515625" style="32" customWidth="1"/>
    <col min="8" max="8" width="10.42578125" style="32" customWidth="1"/>
    <col min="9" max="9" width="12.7109375" style="32" customWidth="1"/>
    <col min="10" max="16384" width="9.140625" style="32"/>
  </cols>
  <sheetData>
    <row r="1" spans="1:5" ht="73.5" customHeight="1" x14ac:dyDescent="0.25">
      <c r="A1" s="338" t="s">
        <v>81</v>
      </c>
      <c r="B1" s="339"/>
      <c r="C1" s="339"/>
      <c r="D1" s="339"/>
      <c r="E1" s="124"/>
    </row>
    <row r="2" spans="1:5" ht="27" customHeight="1" x14ac:dyDescent="0.25">
      <c r="A2" s="48" t="s">
        <v>19</v>
      </c>
      <c r="B2" s="48" t="s">
        <v>8</v>
      </c>
      <c r="C2" s="49" t="s">
        <v>20</v>
      </c>
      <c r="D2" s="50" t="s">
        <v>9</v>
      </c>
      <c r="E2" s="50" t="s">
        <v>213</v>
      </c>
    </row>
    <row r="3" spans="1:5" ht="18.75" customHeight="1" x14ac:dyDescent="0.25">
      <c r="A3" s="48" t="s">
        <v>21</v>
      </c>
      <c r="B3" s="48" t="s">
        <v>22</v>
      </c>
      <c r="C3" s="48" t="s">
        <v>23</v>
      </c>
      <c r="D3" s="48" t="s">
        <v>2</v>
      </c>
      <c r="E3" s="48"/>
    </row>
    <row r="4" spans="1:5" ht="23.25" x14ac:dyDescent="0.25">
      <c r="A4" s="48" t="s">
        <v>24</v>
      </c>
      <c r="B4" s="48" t="s">
        <v>25</v>
      </c>
      <c r="C4" s="48" t="s">
        <v>23</v>
      </c>
      <c r="D4" s="48" t="s">
        <v>2</v>
      </c>
      <c r="E4" s="48"/>
    </row>
    <row r="5" spans="1:5" ht="23.25" x14ac:dyDescent="0.25">
      <c r="A5" s="48" t="s">
        <v>26</v>
      </c>
      <c r="B5" s="48" t="s">
        <v>22</v>
      </c>
      <c r="C5" s="48" t="s">
        <v>27</v>
      </c>
      <c r="D5" s="48" t="s">
        <v>2</v>
      </c>
      <c r="E5" s="48"/>
    </row>
    <row r="6" spans="1:5" ht="23.25" x14ac:dyDescent="0.25">
      <c r="A6" s="48" t="s">
        <v>28</v>
      </c>
      <c r="B6" s="51">
        <v>850</v>
      </c>
      <c r="C6" s="48" t="s">
        <v>29</v>
      </c>
      <c r="D6" s="48" t="s">
        <v>3</v>
      </c>
      <c r="E6" s="48"/>
    </row>
    <row r="7" spans="1:5" ht="23.25" x14ac:dyDescent="0.25">
      <c r="A7" s="48" t="s">
        <v>247</v>
      </c>
      <c r="B7" s="51">
        <v>85</v>
      </c>
      <c r="C7" s="48" t="s">
        <v>30</v>
      </c>
      <c r="D7" s="48" t="s">
        <v>3</v>
      </c>
      <c r="E7" s="48"/>
    </row>
    <row r="8" spans="1:5" ht="23.25" x14ac:dyDescent="0.25">
      <c r="A8" s="48" t="s">
        <v>248</v>
      </c>
      <c r="B8" s="50" t="s">
        <v>246</v>
      </c>
      <c r="C8" s="48" t="s">
        <v>31</v>
      </c>
      <c r="D8" s="48" t="s">
        <v>3</v>
      </c>
      <c r="E8" s="48"/>
    </row>
    <row r="9" spans="1:5" ht="23.25" x14ac:dyDescent="0.25">
      <c r="A9" s="48" t="s">
        <v>251</v>
      </c>
      <c r="B9" s="51">
        <v>175</v>
      </c>
      <c r="C9" s="48" t="s">
        <v>32</v>
      </c>
      <c r="D9" s="48" t="s">
        <v>3</v>
      </c>
      <c r="E9" s="48"/>
    </row>
    <row r="10" spans="1:5" ht="23.25" x14ac:dyDescent="0.25">
      <c r="A10" s="48" t="s">
        <v>250</v>
      </c>
      <c r="B10" s="51">
        <v>110</v>
      </c>
      <c r="C10" s="48" t="s">
        <v>34</v>
      </c>
      <c r="D10" s="48" t="s">
        <v>3</v>
      </c>
      <c r="E10" s="48"/>
    </row>
    <row r="11" spans="1:5" ht="23.25" x14ac:dyDescent="0.25">
      <c r="A11" s="48" t="s">
        <v>35</v>
      </c>
      <c r="B11" s="48" t="s">
        <v>33</v>
      </c>
      <c r="C11" s="48" t="s">
        <v>34</v>
      </c>
      <c r="D11" s="48" t="s">
        <v>3</v>
      </c>
      <c r="E11" s="48"/>
    </row>
    <row r="12" spans="1:5" ht="23.25" x14ac:dyDescent="0.25">
      <c r="A12" s="48" t="s">
        <v>249</v>
      </c>
      <c r="B12" s="50" t="s">
        <v>245</v>
      </c>
      <c r="C12" s="48" t="s">
        <v>36</v>
      </c>
      <c r="D12" s="48" t="s">
        <v>4</v>
      </c>
      <c r="E12" s="48"/>
    </row>
    <row r="13" spans="1:5" ht="23.25" x14ac:dyDescent="0.25">
      <c r="A13" s="48" t="s">
        <v>37</v>
      </c>
      <c r="B13" s="51">
        <v>330</v>
      </c>
      <c r="C13" s="48" t="s">
        <v>39</v>
      </c>
      <c r="D13" s="48" t="s">
        <v>4</v>
      </c>
      <c r="E13" s="48"/>
    </row>
    <row r="14" spans="1:5" ht="23.25" x14ac:dyDescent="0.25">
      <c r="A14" s="48" t="s">
        <v>15</v>
      </c>
      <c r="B14" s="48" t="s">
        <v>40</v>
      </c>
      <c r="C14" s="48" t="s">
        <v>41</v>
      </c>
      <c r="D14" s="48" t="s">
        <v>4</v>
      </c>
      <c r="E14" s="48"/>
    </row>
    <row r="15" spans="1:5" ht="23.25" x14ac:dyDescent="0.25">
      <c r="A15" s="48" t="s">
        <v>16</v>
      </c>
      <c r="B15" s="48" t="s">
        <v>40</v>
      </c>
      <c r="C15" s="48" t="s">
        <v>41</v>
      </c>
      <c r="D15" s="48" t="s">
        <v>4</v>
      </c>
      <c r="E15" s="48"/>
    </row>
    <row r="16" spans="1:5" ht="23.25" x14ac:dyDescent="0.25">
      <c r="A16" s="48" t="s">
        <v>14</v>
      </c>
      <c r="B16" s="48" t="s">
        <v>42</v>
      </c>
      <c r="C16" s="48" t="s">
        <v>43</v>
      </c>
      <c r="D16" s="48" t="s">
        <v>4</v>
      </c>
      <c r="E16" s="48"/>
    </row>
    <row r="17" spans="1:5" ht="23.25" x14ac:dyDescent="0.25">
      <c r="A17" s="48" t="s">
        <v>44</v>
      </c>
      <c r="B17" s="48" t="s">
        <v>45</v>
      </c>
      <c r="C17" s="48" t="s">
        <v>46</v>
      </c>
      <c r="D17" s="48" t="s">
        <v>4</v>
      </c>
      <c r="E17" s="48"/>
    </row>
    <row r="18" spans="1:5" ht="23.25" x14ac:dyDescent="0.25">
      <c r="A18" s="48" t="s">
        <v>47</v>
      </c>
      <c r="B18" s="48" t="s">
        <v>48</v>
      </c>
      <c r="C18" s="48" t="s">
        <v>49</v>
      </c>
      <c r="D18" s="48" t="s">
        <v>4</v>
      </c>
      <c r="E18" s="48"/>
    </row>
    <row r="19" spans="1:5" ht="23.25" x14ac:dyDescent="0.25">
      <c r="A19" s="48" t="s">
        <v>50</v>
      </c>
      <c r="B19" s="48" t="s">
        <v>51</v>
      </c>
      <c r="C19" s="48" t="s">
        <v>52</v>
      </c>
      <c r="D19" s="48" t="s">
        <v>5</v>
      </c>
      <c r="E19" s="48"/>
    </row>
    <row r="20" spans="1:5" ht="23.25" x14ac:dyDescent="0.25">
      <c r="A20" s="48" t="s">
        <v>252</v>
      </c>
      <c r="B20" s="48" t="s">
        <v>48</v>
      </c>
      <c r="C20" s="48" t="s">
        <v>49</v>
      </c>
      <c r="D20" s="48" t="s">
        <v>4</v>
      </c>
      <c r="E20" s="48"/>
    </row>
    <row r="21" spans="1:5" ht="23.25" x14ac:dyDescent="0.25">
      <c r="A21" s="48" t="s">
        <v>53</v>
      </c>
      <c r="B21" s="48" t="s">
        <v>51</v>
      </c>
      <c r="C21" s="48" t="s">
        <v>52</v>
      </c>
      <c r="D21" s="48" t="s">
        <v>5</v>
      </c>
      <c r="E21" s="48"/>
    </row>
    <row r="22" spans="1:5" ht="23.25" x14ac:dyDescent="0.25">
      <c r="A22" s="48" t="s">
        <v>54</v>
      </c>
      <c r="B22" s="48" t="s">
        <v>38</v>
      </c>
      <c r="C22" s="48" t="s">
        <v>55</v>
      </c>
      <c r="D22" s="48" t="s">
        <v>6</v>
      </c>
      <c r="E22" s="48"/>
    </row>
    <row r="23" spans="1:5" ht="23.25" x14ac:dyDescent="0.25">
      <c r="A23" s="48" t="s">
        <v>56</v>
      </c>
      <c r="B23" s="48" t="s">
        <v>38</v>
      </c>
      <c r="C23" s="48" t="s">
        <v>55</v>
      </c>
      <c r="D23" s="48" t="s">
        <v>6</v>
      </c>
      <c r="E23" s="48"/>
    </row>
    <row r="24" spans="1:5" ht="23.25" x14ac:dyDescent="0.25">
      <c r="A24" s="48" t="s">
        <v>57</v>
      </c>
      <c r="B24" s="48" t="s">
        <v>58</v>
      </c>
      <c r="C24" s="48" t="s">
        <v>59</v>
      </c>
      <c r="D24" s="48" t="s">
        <v>5</v>
      </c>
      <c r="E24" s="48"/>
    </row>
    <row r="25" spans="1:5" ht="23.25" x14ac:dyDescent="0.25">
      <c r="A25" s="48" t="s">
        <v>60</v>
      </c>
      <c r="B25" s="48" t="s">
        <v>23</v>
      </c>
      <c r="C25" s="48" t="s">
        <v>61</v>
      </c>
      <c r="D25" s="48" t="s">
        <v>5</v>
      </c>
      <c r="E25" s="48"/>
    </row>
    <row r="26" spans="1:5" ht="23.25" x14ac:dyDescent="0.25">
      <c r="A26" s="48" t="s">
        <v>62</v>
      </c>
      <c r="B26" s="48" t="s">
        <v>63</v>
      </c>
      <c r="C26" s="48" t="s">
        <v>64</v>
      </c>
      <c r="D26" s="48" t="s">
        <v>2</v>
      </c>
      <c r="E26" s="48"/>
    </row>
    <row r="27" spans="1:5" ht="23.25" x14ac:dyDescent="0.25">
      <c r="A27" s="48" t="s">
        <v>253</v>
      </c>
      <c r="B27" s="48" t="s">
        <v>42</v>
      </c>
      <c r="C27" s="48" t="s">
        <v>43</v>
      </c>
      <c r="D27" s="48" t="s">
        <v>7</v>
      </c>
      <c r="E27" s="48"/>
    </row>
    <row r="28" spans="1:5" ht="23.25" x14ac:dyDescent="0.25">
      <c r="A28" s="48" t="s">
        <v>65</v>
      </c>
      <c r="B28" s="48" t="s">
        <v>66</v>
      </c>
      <c r="C28" s="48" t="s">
        <v>67</v>
      </c>
      <c r="D28" s="48" t="s">
        <v>7</v>
      </c>
      <c r="E28" s="48"/>
    </row>
    <row r="29" spans="1:5" ht="23.25" x14ac:dyDescent="0.25">
      <c r="A29" s="48" t="s">
        <v>68</v>
      </c>
      <c r="B29" s="48" t="s">
        <v>25</v>
      </c>
      <c r="C29" s="48" t="s">
        <v>69</v>
      </c>
      <c r="D29" s="48" t="s">
        <v>94</v>
      </c>
      <c r="E29" s="48"/>
    </row>
    <row r="30" spans="1:5" ht="23.25" x14ac:dyDescent="0.25">
      <c r="A30" s="48" t="s">
        <v>70</v>
      </c>
      <c r="B30" s="48" t="s">
        <v>25</v>
      </c>
      <c r="C30" s="48" t="s">
        <v>69</v>
      </c>
      <c r="D30" s="48" t="s">
        <v>94</v>
      </c>
      <c r="E30" s="48"/>
    </row>
    <row r="31" spans="1:5" ht="23.25" x14ac:dyDescent="0.25">
      <c r="A31" s="48" t="s">
        <v>254</v>
      </c>
      <c r="B31" s="51">
        <v>55</v>
      </c>
      <c r="C31" s="48" t="s">
        <v>71</v>
      </c>
      <c r="D31" s="48" t="s">
        <v>4</v>
      </c>
      <c r="E31" s="48"/>
    </row>
    <row r="32" spans="1:5" ht="23.25" x14ac:dyDescent="0.25">
      <c r="A32" s="48" t="s">
        <v>255</v>
      </c>
      <c r="B32" s="51">
        <v>55</v>
      </c>
      <c r="C32" s="48" t="s">
        <v>71</v>
      </c>
      <c r="D32" s="48" t="s">
        <v>4</v>
      </c>
      <c r="E32" s="48"/>
    </row>
    <row r="33" spans="1:5" ht="23.25" x14ac:dyDescent="0.25">
      <c r="A33" s="48" t="s">
        <v>72</v>
      </c>
      <c r="B33" s="48" t="s">
        <v>73</v>
      </c>
      <c r="C33" s="48" t="s">
        <v>40</v>
      </c>
      <c r="D33" s="48" t="s">
        <v>4</v>
      </c>
      <c r="E33" s="48"/>
    </row>
    <row r="34" spans="1:5" ht="23.25" x14ac:dyDescent="0.25">
      <c r="A34" s="48" t="s">
        <v>256</v>
      </c>
      <c r="B34" s="51">
        <v>700</v>
      </c>
      <c r="C34" s="48" t="s">
        <v>74</v>
      </c>
      <c r="D34" s="48" t="s">
        <v>75</v>
      </c>
      <c r="E34" s="48"/>
    </row>
    <row r="35" spans="1:5" ht="23.25" x14ac:dyDescent="0.25">
      <c r="A35" s="48" t="s">
        <v>76</v>
      </c>
      <c r="B35" s="48" t="s">
        <v>77</v>
      </c>
      <c r="C35" s="48" t="s">
        <v>77</v>
      </c>
      <c r="D35" s="48" t="s">
        <v>94</v>
      </c>
      <c r="E35" s="48"/>
    </row>
  </sheetData>
  <mergeCells count="1">
    <mergeCell ref="A1:D1"/>
  </mergeCells>
  <phoneticPr fontId="31" type="noConversion"/>
  <hyperlinks>
    <hyperlink ref="A1:D1" r:id="rId1" location="b07" display="ORTAK TARIM MAKİNE PARKI FİYAT LİSTESİ" xr:uid="{00000000-0004-0000-0200-000000000000}"/>
  </hyperlinks>
  <pageMargins left="0.19685039370078741" right="0.19685039370078741" top="0.19685039370078741" bottom="0.19685039370078741" header="0.19685039370078741" footer="0.19685039370078741"/>
  <pageSetup paperSize="9" scale="65" orientation="portrait" horizontalDpi="4294967295" verticalDpi="4294967295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workbookViewId="0">
      <selection sqref="A1:I1"/>
    </sheetView>
  </sheetViews>
  <sheetFormatPr defaultColWidth="9.140625" defaultRowHeight="18" x14ac:dyDescent="0.25"/>
  <cols>
    <col min="1" max="1" width="11.42578125" style="52" customWidth="1"/>
    <col min="2" max="2" width="45.5703125" style="52" customWidth="1"/>
    <col min="3" max="3" width="14.7109375" style="52" bestFit="1" customWidth="1"/>
    <col min="4" max="4" width="16.7109375" style="132" customWidth="1"/>
    <col min="5" max="5" width="4.140625" style="132" customWidth="1"/>
    <col min="6" max="6" width="6" style="132" customWidth="1"/>
    <col min="7" max="7" width="52.7109375" style="52" bestFit="1" customWidth="1"/>
    <col min="8" max="8" width="20.7109375" style="52" customWidth="1"/>
    <col min="9" max="9" width="12.5703125" style="52" customWidth="1"/>
    <col min="10" max="10" width="13.140625" style="52" bestFit="1" customWidth="1"/>
    <col min="11" max="11" width="32.5703125" style="52" bestFit="1" customWidth="1"/>
    <col min="12" max="14" width="32.5703125" style="52" customWidth="1"/>
    <col min="15" max="15" width="38.28515625" style="52" bestFit="1" customWidth="1"/>
    <col min="16" max="16" width="20.85546875" style="52" bestFit="1" customWidth="1"/>
    <col min="17" max="17" width="29" style="52" bestFit="1" customWidth="1"/>
    <col min="18" max="18" width="36" style="52" bestFit="1" customWidth="1"/>
    <col min="19" max="19" width="25.7109375" style="52" customWidth="1"/>
    <col min="20" max="24" width="13.5703125" style="52" customWidth="1"/>
    <col min="25" max="25" width="12.85546875" style="52" customWidth="1"/>
    <col min="26" max="26" width="13.28515625" style="52" customWidth="1"/>
    <col min="27" max="27" width="14.28515625" style="52" customWidth="1"/>
    <col min="28" max="28" width="10.42578125" style="52" customWidth="1"/>
    <col min="29" max="29" width="12.7109375" style="52" customWidth="1"/>
    <col min="30" max="16384" width="9.140625" style="52"/>
  </cols>
  <sheetData>
    <row r="1" spans="1:10" ht="18.75" thickBot="1" x14ac:dyDescent="0.3">
      <c r="A1" s="340" t="s">
        <v>244</v>
      </c>
      <c r="B1" s="340"/>
      <c r="C1" s="340"/>
      <c r="D1" s="340"/>
      <c r="E1" s="340"/>
      <c r="F1" s="340"/>
      <c r="G1" s="340"/>
      <c r="H1" s="340"/>
      <c r="I1" s="340"/>
      <c r="J1" s="213"/>
    </row>
    <row r="2" spans="1:10" ht="18.75" customHeight="1" x14ac:dyDescent="0.25">
      <c r="B2" s="52" t="s">
        <v>216</v>
      </c>
      <c r="C2" s="148" t="s">
        <v>96</v>
      </c>
      <c r="D2" s="149" t="s">
        <v>123</v>
      </c>
      <c r="E2" s="133"/>
      <c r="F2" s="341" t="s">
        <v>232</v>
      </c>
      <c r="G2" s="163" t="s">
        <v>229</v>
      </c>
      <c r="H2" s="164"/>
      <c r="I2" s="308">
        <v>268</v>
      </c>
    </row>
    <row r="3" spans="1:10" ht="18" customHeight="1" x14ac:dyDescent="0.25">
      <c r="A3" s="350" t="s">
        <v>107</v>
      </c>
      <c r="B3" s="53" t="s">
        <v>158</v>
      </c>
      <c r="C3" s="53" t="s">
        <v>210</v>
      </c>
      <c r="D3" s="298">
        <v>18</v>
      </c>
      <c r="E3" s="134"/>
      <c r="F3" s="342"/>
      <c r="G3" s="165" t="s">
        <v>230</v>
      </c>
      <c r="H3" s="166"/>
      <c r="I3" s="309">
        <v>268</v>
      </c>
    </row>
    <row r="4" spans="1:10" ht="26.25" customHeight="1" x14ac:dyDescent="0.25">
      <c r="A4" s="350"/>
      <c r="B4" s="53" t="s">
        <v>157</v>
      </c>
      <c r="C4" s="53" t="s">
        <v>211</v>
      </c>
      <c r="D4" s="299">
        <v>9000</v>
      </c>
      <c r="F4" s="342"/>
      <c r="G4" s="165" t="s">
        <v>231</v>
      </c>
      <c r="H4" s="166"/>
      <c r="I4" s="309">
        <v>268</v>
      </c>
    </row>
    <row r="5" spans="1:10" x14ac:dyDescent="0.25">
      <c r="A5" s="350"/>
      <c r="B5" s="53" t="s">
        <v>155</v>
      </c>
      <c r="C5" s="53" t="s">
        <v>211</v>
      </c>
      <c r="D5" s="299">
        <v>5000</v>
      </c>
      <c r="F5" s="342"/>
      <c r="G5" s="165" t="s">
        <v>196</v>
      </c>
      <c r="H5" s="166"/>
      <c r="I5" s="310">
        <v>268</v>
      </c>
    </row>
    <row r="6" spans="1:10" x14ac:dyDescent="0.25">
      <c r="A6" s="350"/>
      <c r="B6" s="53" t="s">
        <v>156</v>
      </c>
      <c r="C6" s="53" t="s">
        <v>210</v>
      </c>
      <c r="D6" s="299">
        <v>400</v>
      </c>
      <c r="F6" s="342"/>
      <c r="G6" s="167" t="s">
        <v>125</v>
      </c>
      <c r="H6" s="168"/>
      <c r="I6" s="309">
        <v>850</v>
      </c>
    </row>
    <row r="7" spans="1:10" x14ac:dyDescent="0.25">
      <c r="A7" s="350"/>
      <c r="B7" s="53" t="s">
        <v>209</v>
      </c>
      <c r="C7" s="53" t="s">
        <v>210</v>
      </c>
      <c r="D7" s="299">
        <v>150</v>
      </c>
      <c r="F7" s="342"/>
      <c r="G7" s="167" t="s">
        <v>88</v>
      </c>
      <c r="H7" s="168"/>
      <c r="I7" s="309">
        <v>175</v>
      </c>
    </row>
    <row r="8" spans="1:10" x14ac:dyDescent="0.25">
      <c r="A8" s="350"/>
      <c r="B8" s="53" t="s">
        <v>83</v>
      </c>
      <c r="C8" s="53" t="s">
        <v>210</v>
      </c>
      <c r="D8" s="299">
        <v>150</v>
      </c>
      <c r="F8" s="342"/>
      <c r="G8" s="167" t="s">
        <v>89</v>
      </c>
      <c r="H8" s="168"/>
      <c r="I8" s="309">
        <v>110</v>
      </c>
    </row>
    <row r="9" spans="1:10" x14ac:dyDescent="0.25">
      <c r="A9" s="350"/>
      <c r="B9" s="53" t="s">
        <v>84</v>
      </c>
      <c r="C9" s="53" t="s">
        <v>210</v>
      </c>
      <c r="D9" s="299">
        <v>12</v>
      </c>
      <c r="F9" s="342"/>
      <c r="G9" s="165" t="s">
        <v>221</v>
      </c>
      <c r="H9" s="166" t="s">
        <v>222</v>
      </c>
      <c r="I9" s="310">
        <v>1375</v>
      </c>
    </row>
    <row r="10" spans="1:10" x14ac:dyDescent="0.25">
      <c r="A10" s="350"/>
      <c r="B10" s="53" t="s">
        <v>160</v>
      </c>
      <c r="C10" s="53" t="s">
        <v>210</v>
      </c>
      <c r="D10" s="299">
        <v>18</v>
      </c>
      <c r="F10" s="342"/>
      <c r="G10" s="165" t="s">
        <v>126</v>
      </c>
      <c r="H10" s="166" t="s">
        <v>222</v>
      </c>
      <c r="I10" s="310">
        <v>700</v>
      </c>
    </row>
    <row r="11" spans="1:10" x14ac:dyDescent="0.25">
      <c r="A11" s="350"/>
      <c r="B11" s="53"/>
      <c r="C11" s="53"/>
      <c r="D11" s="300"/>
      <c r="F11" s="342"/>
      <c r="G11" s="165" t="s">
        <v>257</v>
      </c>
      <c r="H11" s="166" t="s">
        <v>258</v>
      </c>
      <c r="I11" s="310">
        <v>2900</v>
      </c>
    </row>
    <row r="12" spans="1:10" x14ac:dyDescent="0.25">
      <c r="A12" s="350"/>
      <c r="B12" s="53"/>
      <c r="C12" s="53"/>
      <c r="D12" s="300"/>
      <c r="F12" s="342"/>
      <c r="G12" s="166"/>
      <c r="H12" s="166"/>
      <c r="I12" s="311"/>
    </row>
    <row r="13" spans="1:10" ht="18.75" thickBot="1" x14ac:dyDescent="0.3">
      <c r="A13" s="351"/>
      <c r="B13" s="154"/>
      <c r="C13" s="154"/>
      <c r="D13" s="301"/>
      <c r="F13" s="343"/>
      <c r="G13" s="169"/>
      <c r="H13" s="169"/>
      <c r="I13" s="312"/>
    </row>
    <row r="14" spans="1:10" ht="18" customHeight="1" x14ac:dyDescent="0.25">
      <c r="A14" s="353" t="s">
        <v>219</v>
      </c>
      <c r="B14" s="155" t="s">
        <v>100</v>
      </c>
      <c r="C14" s="157" t="s">
        <v>212</v>
      </c>
      <c r="D14" s="302">
        <v>375</v>
      </c>
      <c r="F14" s="345" t="s">
        <v>233</v>
      </c>
      <c r="G14" s="170" t="s">
        <v>198</v>
      </c>
      <c r="H14" s="170"/>
      <c r="I14" s="313">
        <v>555</v>
      </c>
    </row>
    <row r="15" spans="1:10" x14ac:dyDescent="0.25">
      <c r="A15" s="354"/>
      <c r="B15" s="151" t="s">
        <v>101</v>
      </c>
      <c r="C15" s="158" t="s">
        <v>212</v>
      </c>
      <c r="D15" s="303">
        <v>305</v>
      </c>
      <c r="F15" s="345"/>
      <c r="G15" s="170" t="s">
        <v>227</v>
      </c>
      <c r="H15" s="170"/>
      <c r="I15" s="314">
        <v>400</v>
      </c>
    </row>
    <row r="16" spans="1:10" x14ac:dyDescent="0.25">
      <c r="A16" s="354"/>
      <c r="B16" s="150" t="s">
        <v>102</v>
      </c>
      <c r="C16" s="159" t="s">
        <v>212</v>
      </c>
      <c r="D16" s="303">
        <v>165</v>
      </c>
      <c r="F16" s="345"/>
      <c r="G16" s="170" t="s">
        <v>190</v>
      </c>
      <c r="H16" s="170" t="s">
        <v>214</v>
      </c>
      <c r="I16" s="314">
        <v>200</v>
      </c>
    </row>
    <row r="17" spans="1:9" x14ac:dyDescent="0.25">
      <c r="A17" s="354"/>
      <c r="B17" s="156" t="s">
        <v>134</v>
      </c>
      <c r="C17" s="153" t="s">
        <v>212</v>
      </c>
      <c r="D17" s="303">
        <v>330</v>
      </c>
      <c r="F17" s="345"/>
      <c r="G17" s="170" t="s">
        <v>191</v>
      </c>
      <c r="H17" s="170" t="s">
        <v>214</v>
      </c>
      <c r="I17" s="314">
        <v>200</v>
      </c>
    </row>
    <row r="18" spans="1:9" x14ac:dyDescent="0.25">
      <c r="A18" s="354"/>
      <c r="B18" s="152" t="s">
        <v>93</v>
      </c>
      <c r="C18" s="160" t="s">
        <v>212</v>
      </c>
      <c r="D18" s="303">
        <v>85</v>
      </c>
      <c r="F18" s="345"/>
      <c r="G18" s="170" t="s">
        <v>228</v>
      </c>
      <c r="H18" s="170" t="s">
        <v>214</v>
      </c>
      <c r="I18" s="314">
        <v>400</v>
      </c>
    </row>
    <row r="19" spans="1:9" x14ac:dyDescent="0.25">
      <c r="A19" s="355"/>
      <c r="B19" s="172"/>
      <c r="C19" s="172"/>
      <c r="D19" s="304"/>
      <c r="E19" s="52"/>
      <c r="F19" s="345"/>
      <c r="G19" s="170"/>
      <c r="H19" s="170"/>
      <c r="I19" s="314"/>
    </row>
    <row r="20" spans="1:9" x14ac:dyDescent="0.25">
      <c r="A20" s="352" t="s">
        <v>218</v>
      </c>
      <c r="B20" s="173" t="s">
        <v>85</v>
      </c>
      <c r="C20" s="173" t="s">
        <v>210</v>
      </c>
      <c r="D20" s="305">
        <v>24</v>
      </c>
      <c r="F20" s="346" t="s">
        <v>234</v>
      </c>
      <c r="G20" s="178" t="s">
        <v>97</v>
      </c>
      <c r="H20" s="178" t="s">
        <v>214</v>
      </c>
      <c r="I20" s="315">
        <v>50</v>
      </c>
    </row>
    <row r="21" spans="1:9" x14ac:dyDescent="0.25">
      <c r="A21" s="352"/>
      <c r="B21" s="173" t="s">
        <v>98</v>
      </c>
      <c r="C21" s="173" t="s">
        <v>210</v>
      </c>
      <c r="D21" s="305">
        <v>23</v>
      </c>
      <c r="E21" s="171"/>
      <c r="F21" s="346"/>
      <c r="G21" s="143" t="s">
        <v>129</v>
      </c>
      <c r="H21" s="178"/>
      <c r="I21" s="315">
        <v>35</v>
      </c>
    </row>
    <row r="22" spans="1:9" x14ac:dyDescent="0.25">
      <c r="A22" s="352"/>
      <c r="B22" s="173" t="s">
        <v>86</v>
      </c>
      <c r="C22" s="173" t="s">
        <v>212</v>
      </c>
      <c r="D22" s="305">
        <v>55</v>
      </c>
      <c r="F22" s="346"/>
      <c r="G22" s="143" t="s">
        <v>131</v>
      </c>
      <c r="H22" s="178"/>
      <c r="I22" s="315">
        <v>1.5</v>
      </c>
    </row>
    <row r="23" spans="1:9" x14ac:dyDescent="0.25">
      <c r="A23" s="352"/>
      <c r="B23" s="173"/>
      <c r="C23" s="173"/>
      <c r="D23" s="305"/>
      <c r="E23" s="171"/>
      <c r="F23" s="346"/>
      <c r="G23" s="356" t="s">
        <v>217</v>
      </c>
      <c r="H23" s="178"/>
      <c r="I23" s="357">
        <v>150</v>
      </c>
    </row>
    <row r="24" spans="1:9" x14ac:dyDescent="0.25">
      <c r="A24" s="352"/>
      <c r="B24" s="173"/>
      <c r="C24" s="173"/>
      <c r="D24" s="305"/>
      <c r="F24" s="346"/>
      <c r="G24" s="356"/>
      <c r="H24" s="178"/>
      <c r="I24" s="357"/>
    </row>
    <row r="25" spans="1:9" x14ac:dyDescent="0.25">
      <c r="A25" s="344" t="s">
        <v>220</v>
      </c>
      <c r="B25" s="161" t="s">
        <v>153</v>
      </c>
      <c r="C25" s="161" t="s">
        <v>212</v>
      </c>
      <c r="D25" s="306">
        <v>55</v>
      </c>
      <c r="E25" s="52"/>
      <c r="I25" s="316"/>
    </row>
    <row r="26" spans="1:9" ht="18" customHeight="1" x14ac:dyDescent="0.25">
      <c r="A26" s="344"/>
      <c r="B26" s="161" t="s">
        <v>112</v>
      </c>
      <c r="C26" s="161" t="s">
        <v>212</v>
      </c>
      <c r="D26" s="306">
        <v>450</v>
      </c>
      <c r="E26" s="52"/>
      <c r="F26" s="347" t="s">
        <v>120</v>
      </c>
      <c r="G26" s="162"/>
      <c r="H26" s="174" t="s">
        <v>226</v>
      </c>
      <c r="I26" s="317" t="s">
        <v>225</v>
      </c>
    </row>
    <row r="27" spans="1:9" ht="18" customHeight="1" x14ac:dyDescent="0.25">
      <c r="A27" s="344"/>
      <c r="B27" s="161" t="s">
        <v>114</v>
      </c>
      <c r="C27" s="161"/>
      <c r="D27" s="306">
        <v>55</v>
      </c>
      <c r="F27" s="348"/>
      <c r="G27" s="175" t="s">
        <v>90</v>
      </c>
      <c r="H27" s="318">
        <v>317</v>
      </c>
      <c r="I27" s="318">
        <v>317</v>
      </c>
    </row>
    <row r="28" spans="1:9" x14ac:dyDescent="0.25">
      <c r="A28" s="344"/>
      <c r="B28" s="161" t="s">
        <v>115</v>
      </c>
      <c r="C28" s="161" t="s">
        <v>212</v>
      </c>
      <c r="D28" s="306">
        <v>200</v>
      </c>
      <c r="E28" s="52"/>
      <c r="F28" s="348"/>
      <c r="G28" s="175" t="s">
        <v>91</v>
      </c>
      <c r="H28" s="319">
        <v>317</v>
      </c>
      <c r="I28" s="319">
        <v>317</v>
      </c>
    </row>
    <row r="29" spans="1:9" x14ac:dyDescent="0.25">
      <c r="A29" s="344"/>
      <c r="B29" s="161" t="s">
        <v>87</v>
      </c>
      <c r="C29" s="161" t="s">
        <v>212</v>
      </c>
      <c r="D29" s="306">
        <v>250</v>
      </c>
      <c r="E29" s="52"/>
      <c r="F29" s="348"/>
      <c r="G29" s="176" t="s">
        <v>92</v>
      </c>
      <c r="H29" s="319">
        <v>97.6</v>
      </c>
      <c r="I29" s="319">
        <v>122</v>
      </c>
    </row>
    <row r="30" spans="1:9" x14ac:dyDescent="0.25">
      <c r="A30" s="344"/>
      <c r="B30" s="161"/>
      <c r="C30" s="161"/>
      <c r="D30" s="306"/>
      <c r="E30" s="52"/>
      <c r="F30" s="348"/>
      <c r="G30" s="176" t="s">
        <v>133</v>
      </c>
      <c r="H30" s="320">
        <f>SUM(H27:H29)</f>
        <v>731.6</v>
      </c>
      <c r="I30" s="320">
        <f>SUM(I27:I29)</f>
        <v>756</v>
      </c>
    </row>
    <row r="31" spans="1:9" x14ac:dyDescent="0.25">
      <c r="A31" s="344"/>
      <c r="B31" s="161"/>
      <c r="C31" s="161"/>
      <c r="D31" s="307"/>
      <c r="E31" s="52"/>
      <c r="F31" s="349"/>
      <c r="G31" s="177"/>
      <c r="H31" s="177"/>
      <c r="I31" s="177"/>
    </row>
    <row r="32" spans="1:9" x14ac:dyDescent="0.25">
      <c r="D32" s="52"/>
      <c r="E32" s="52"/>
      <c r="F32" s="52"/>
    </row>
    <row r="33" spans="2:6" x14ac:dyDescent="0.25">
      <c r="E33" s="52"/>
      <c r="F33" s="52"/>
    </row>
    <row r="34" spans="2:6" x14ac:dyDescent="0.25">
      <c r="B34" s="129" t="s">
        <v>215</v>
      </c>
      <c r="C34" s="130"/>
      <c r="D34" s="131">
        <v>1375</v>
      </c>
      <c r="E34" s="52"/>
      <c r="F34" s="52"/>
    </row>
    <row r="35" spans="2:6" x14ac:dyDescent="0.25">
      <c r="B35" s="129" t="s">
        <v>161</v>
      </c>
      <c r="C35" s="130"/>
      <c r="D35" s="131">
        <v>150</v>
      </c>
      <c r="E35" s="52"/>
      <c r="F35" s="52"/>
    </row>
    <row r="36" spans="2:6" ht="18" customHeight="1" x14ac:dyDescent="0.25">
      <c r="B36" s="129" t="s">
        <v>162</v>
      </c>
      <c r="C36" s="130"/>
      <c r="D36" s="131">
        <v>50</v>
      </c>
      <c r="E36" s="52"/>
      <c r="F36" s="52"/>
    </row>
    <row r="37" spans="2:6" x14ac:dyDescent="0.25">
      <c r="D37" s="52"/>
      <c r="E37" s="52"/>
      <c r="F37" s="52"/>
    </row>
    <row r="38" spans="2:6" x14ac:dyDescent="0.25">
      <c r="B38" s="126" t="s">
        <v>126</v>
      </c>
      <c r="C38" s="127"/>
      <c r="D38" s="128">
        <v>700</v>
      </c>
      <c r="F38" s="52"/>
    </row>
    <row r="39" spans="2:6" x14ac:dyDescent="0.25">
      <c r="D39" s="52"/>
    </row>
  </sheetData>
  <mergeCells count="11">
    <mergeCell ref="A1:I1"/>
    <mergeCell ref="F2:F13"/>
    <mergeCell ref="A25:A31"/>
    <mergeCell ref="F14:F19"/>
    <mergeCell ref="F20:F24"/>
    <mergeCell ref="F26:F31"/>
    <mergeCell ref="A3:A13"/>
    <mergeCell ref="A20:A24"/>
    <mergeCell ref="A14:A19"/>
    <mergeCell ref="G23:G24"/>
    <mergeCell ref="I23:I2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P27"/>
  <sheetViews>
    <sheetView showGridLines="0" tabSelected="1" zoomScaleNormal="100" workbookViewId="0">
      <selection activeCell="E8" sqref="E8"/>
    </sheetView>
  </sheetViews>
  <sheetFormatPr defaultColWidth="9.140625" defaultRowHeight="15" x14ac:dyDescent="0.25"/>
  <cols>
    <col min="1" max="2" width="9.140625" style="33"/>
    <col min="3" max="3" width="45.85546875" style="33" customWidth="1"/>
    <col min="4" max="4" width="9.140625" style="33" customWidth="1"/>
    <col min="5" max="5" width="9.140625" style="33"/>
    <col min="6" max="6" width="0.7109375" style="33" customWidth="1"/>
    <col min="7" max="7" width="5.28515625" style="33" customWidth="1"/>
    <col min="8" max="9" width="13.7109375" style="33" customWidth="1"/>
    <col min="10" max="10" width="16.5703125" style="33" customWidth="1"/>
    <col min="11" max="14" width="13.7109375" style="33" customWidth="1"/>
    <col min="15" max="16" width="12" style="33" customWidth="1"/>
    <col min="17" max="17" width="10.42578125" style="33" customWidth="1"/>
    <col min="18" max="16384" width="9.140625" style="33"/>
  </cols>
  <sheetData>
    <row r="1" spans="1:16" x14ac:dyDescent="0.25">
      <c r="A1" s="44"/>
      <c r="B1" s="44"/>
      <c r="C1" s="44"/>
      <c r="D1" s="44"/>
      <c r="E1" s="44"/>
    </row>
    <row r="2" spans="1:16" ht="15" customHeight="1" x14ac:dyDescent="0.25">
      <c r="A2" s="44"/>
      <c r="B2" s="44"/>
      <c r="C2" s="358" t="s">
        <v>1</v>
      </c>
      <c r="D2" s="44"/>
      <c r="E2" s="44"/>
    </row>
    <row r="3" spans="1:16" x14ac:dyDescent="0.25">
      <c r="A3" s="44"/>
      <c r="B3" s="44"/>
      <c r="C3" s="358"/>
      <c r="D3" s="44"/>
      <c r="E3" s="44"/>
    </row>
    <row r="4" spans="1:16" ht="24.75" customHeight="1" x14ac:dyDescent="0.25">
      <c r="A4" s="44"/>
      <c r="B4" s="44"/>
      <c r="C4" s="358"/>
      <c r="D4" s="44"/>
      <c r="E4" s="44"/>
    </row>
    <row r="5" spans="1:16" x14ac:dyDescent="0.25">
      <c r="A5" s="44"/>
      <c r="B5" s="44"/>
      <c r="C5" s="44"/>
      <c r="D5" s="44"/>
      <c r="E5" s="44"/>
    </row>
    <row r="6" spans="1:16" ht="22.5" customHeight="1" x14ac:dyDescent="0.25">
      <c r="A6" s="44"/>
      <c r="B6" s="44"/>
      <c r="C6" s="45" t="s">
        <v>243</v>
      </c>
      <c r="D6" s="44"/>
      <c r="E6" s="44"/>
      <c r="P6" s="34"/>
    </row>
    <row r="7" spans="1:16" ht="20.25" customHeight="1" x14ac:dyDescent="0.25">
      <c r="A7" s="44"/>
      <c r="B7" s="44"/>
      <c r="C7" s="46" t="s">
        <v>242</v>
      </c>
      <c r="D7" s="44"/>
      <c r="E7" s="44"/>
      <c r="P7" s="35"/>
    </row>
    <row r="8" spans="1:16" ht="20.25" customHeight="1" x14ac:dyDescent="0.25">
      <c r="A8" s="44"/>
      <c r="B8" s="44"/>
      <c r="C8" s="44"/>
      <c r="D8" s="44"/>
      <c r="E8" s="44"/>
      <c r="P8" s="35"/>
    </row>
    <row r="9" spans="1:16" ht="27" customHeight="1" x14ac:dyDescent="0.25">
      <c r="C9" s="38"/>
      <c r="E9" s="212"/>
      <c r="F9" s="36"/>
      <c r="L9" s="33" t="s">
        <v>13</v>
      </c>
      <c r="P9" s="35"/>
    </row>
    <row r="10" spans="1:16" ht="15" customHeight="1" x14ac:dyDescent="0.25">
      <c r="C10" s="32"/>
      <c r="O10" s="37"/>
      <c r="P10" s="35"/>
    </row>
    <row r="11" spans="1:16" ht="28.5" customHeight="1" x14ac:dyDescent="0.25">
      <c r="C11" s="39"/>
      <c r="P11" s="35"/>
    </row>
    <row r="12" spans="1:16" ht="15" customHeight="1" x14ac:dyDescent="0.25">
      <c r="C12" s="32"/>
      <c r="P12" s="35"/>
    </row>
    <row r="13" spans="1:16" ht="19.5" customHeight="1" x14ac:dyDescent="0.25">
      <c r="C13" s="40"/>
      <c r="P13" s="35"/>
    </row>
    <row r="14" spans="1:16" ht="27.75" customHeight="1" x14ac:dyDescent="0.25">
      <c r="C14" s="32"/>
      <c r="P14" s="35"/>
    </row>
    <row r="15" spans="1:16" ht="15.75" customHeight="1" x14ac:dyDescent="0.25">
      <c r="C15" s="41"/>
      <c r="O15" s="35"/>
      <c r="P15" s="35"/>
    </row>
    <row r="16" spans="1:16" ht="30.75" customHeight="1" x14ac:dyDescent="0.25"/>
    <row r="17" spans="3:9" ht="18" customHeight="1" x14ac:dyDescent="0.25">
      <c r="C17" s="42"/>
    </row>
    <row r="18" spans="3:9" ht="19.5" customHeight="1" x14ac:dyDescent="0.25">
      <c r="C18" s="32"/>
    </row>
    <row r="19" spans="3:9" ht="30.75" customHeight="1" x14ac:dyDescent="0.25">
      <c r="C19" s="43"/>
    </row>
    <row r="21" spans="3:9" ht="33.75" customHeight="1" x14ac:dyDescent="0.25"/>
    <row r="22" spans="3:9" ht="18" customHeight="1" x14ac:dyDescent="0.25"/>
    <row r="23" spans="3:9" ht="18" customHeight="1" x14ac:dyDescent="0.25"/>
    <row r="24" spans="3:9" ht="27.75" customHeight="1" x14ac:dyDescent="0.25"/>
    <row r="27" spans="3:9" ht="31.5" customHeight="1" x14ac:dyDescent="0.25">
      <c r="H27" s="359"/>
      <c r="I27" s="359"/>
    </row>
  </sheetData>
  <mergeCells count="2">
    <mergeCell ref="C2:C4"/>
    <mergeCell ref="H27:I27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C83"/>
  <sheetViews>
    <sheetView workbookViewId="0">
      <selection activeCell="F10" sqref="F10"/>
    </sheetView>
  </sheetViews>
  <sheetFormatPr defaultColWidth="9.140625" defaultRowHeight="21" x14ac:dyDescent="0.25"/>
  <cols>
    <col min="1" max="1" width="20.42578125" style="78" customWidth="1"/>
    <col min="2" max="2" width="24.140625" style="78" customWidth="1"/>
    <col min="3" max="3" width="17.140625" style="78" customWidth="1"/>
    <col min="4" max="4" width="15" style="78" customWidth="1"/>
    <col min="5" max="5" width="15.7109375" style="78" bestFit="1" customWidth="1"/>
    <col min="6" max="6" width="16.5703125" style="73" customWidth="1"/>
    <col min="7" max="7" width="16.7109375" style="78" customWidth="1"/>
    <col min="8" max="8" width="15" style="78" customWidth="1"/>
    <col min="9" max="9" width="17.28515625" style="78" customWidth="1"/>
    <col min="10" max="10" width="13.28515625" style="78" customWidth="1"/>
    <col min="11" max="11" width="15.28515625" style="69" customWidth="1"/>
    <col min="12" max="12" width="3.7109375" style="69" customWidth="1"/>
    <col min="13" max="13" width="95" style="70" customWidth="1"/>
    <col min="14" max="14" width="3.7109375" style="70" customWidth="1"/>
    <col min="15" max="55" width="9.140625" style="70"/>
    <col min="56" max="16384" width="9.140625" style="71"/>
  </cols>
  <sheetData>
    <row r="1" spans="1:55" ht="26.25" x14ac:dyDescent="0.25">
      <c r="A1" s="439" t="s">
        <v>235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</row>
    <row r="2" spans="1:55" x14ac:dyDescent="0.25">
      <c r="A2" s="440" t="s">
        <v>145</v>
      </c>
      <c r="B2" s="440"/>
      <c r="C2" s="440"/>
      <c r="D2" s="440"/>
      <c r="E2" s="440"/>
      <c r="F2" s="441" t="s">
        <v>146</v>
      </c>
      <c r="G2" s="441"/>
      <c r="H2" s="441"/>
      <c r="I2" s="441"/>
      <c r="J2" s="441"/>
      <c r="K2" s="441"/>
    </row>
    <row r="3" spans="1:55" ht="15" x14ac:dyDescent="0.25">
      <c r="A3" s="440"/>
      <c r="B3" s="440"/>
      <c r="C3" s="440"/>
      <c r="D3" s="440"/>
      <c r="E3" s="440"/>
      <c r="F3" s="441"/>
      <c r="G3" s="441"/>
      <c r="H3" s="441"/>
      <c r="I3" s="441"/>
      <c r="J3" s="441"/>
      <c r="K3" s="441"/>
      <c r="L3" s="70"/>
      <c r="AY3" s="71"/>
      <c r="AZ3" s="71"/>
      <c r="BA3" s="71"/>
      <c r="BB3" s="71"/>
      <c r="BC3" s="71"/>
    </row>
    <row r="4" spans="1:55" s="72" customFormat="1" ht="15.75" x14ac:dyDescent="0.25">
      <c r="A4" s="442" t="s">
        <v>135</v>
      </c>
      <c r="B4" s="444" t="s">
        <v>136</v>
      </c>
      <c r="C4" s="444" t="s">
        <v>104</v>
      </c>
      <c r="D4" s="444" t="s">
        <v>152</v>
      </c>
      <c r="E4" s="444" t="s">
        <v>137</v>
      </c>
      <c r="F4" s="447" t="s">
        <v>147</v>
      </c>
      <c r="G4" s="447"/>
      <c r="H4" s="447" t="s">
        <v>141</v>
      </c>
      <c r="I4" s="447"/>
      <c r="J4" s="447" t="s">
        <v>138</v>
      </c>
      <c r="K4" s="447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</row>
    <row r="5" spans="1:55" s="72" customFormat="1" ht="15" x14ac:dyDescent="0.25">
      <c r="A5" s="442"/>
      <c r="B5" s="445"/>
      <c r="C5" s="445"/>
      <c r="D5" s="445"/>
      <c r="E5" s="445"/>
      <c r="F5" s="448" t="s">
        <v>148</v>
      </c>
      <c r="G5" s="448" t="s">
        <v>149</v>
      </c>
      <c r="H5" s="420" t="s">
        <v>142</v>
      </c>
      <c r="I5" s="420" t="s">
        <v>143</v>
      </c>
      <c r="J5" s="420" t="s">
        <v>139</v>
      </c>
      <c r="K5" s="420" t="s">
        <v>140</v>
      </c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</row>
    <row r="6" spans="1:55" s="72" customFormat="1" ht="15" x14ac:dyDescent="0.25">
      <c r="A6" s="443"/>
      <c r="B6" s="446"/>
      <c r="C6" s="445"/>
      <c r="D6" s="445"/>
      <c r="E6" s="445"/>
      <c r="F6" s="449"/>
      <c r="G6" s="449"/>
      <c r="H6" s="420"/>
      <c r="I6" s="420"/>
      <c r="J6" s="420"/>
      <c r="K6" s="42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</row>
    <row r="7" spans="1:55" s="72" customFormat="1" x14ac:dyDescent="0.25">
      <c r="A7" s="90" t="s">
        <v>121</v>
      </c>
      <c r="B7" s="282">
        <v>1</v>
      </c>
      <c r="C7" s="283">
        <v>4600</v>
      </c>
      <c r="D7" s="283"/>
      <c r="E7" s="214" t="str">
        <f>IF(D7&gt;0,C7*D7,"")</f>
        <v/>
      </c>
      <c r="F7" s="55">
        <f>E37+K42</f>
        <v>6690</v>
      </c>
      <c r="G7" s="55">
        <f>F7-E$42</f>
        <v>5958.4</v>
      </c>
      <c r="H7" s="56" t="str">
        <f>IF(D7="","",E7-F7)</f>
        <v/>
      </c>
      <c r="I7" s="56" t="str">
        <f>IF(H7="","",H7+E$42)</f>
        <v/>
      </c>
      <c r="J7" s="57">
        <f>F7/C7</f>
        <v>1.4543478260869565</v>
      </c>
      <c r="K7" s="57">
        <f>G7/C7</f>
        <v>1.2953043478260868</v>
      </c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</row>
    <row r="8" spans="1:55" s="72" customFormat="1" x14ac:dyDescent="0.25">
      <c r="A8" s="90" t="s">
        <v>17</v>
      </c>
      <c r="B8" s="284">
        <v>0.32500000000000001</v>
      </c>
      <c r="C8" s="283">
        <f>C$7*B8</f>
        <v>1495</v>
      </c>
      <c r="D8" s="285">
        <v>9</v>
      </c>
      <c r="E8" s="215">
        <f t="shared" ref="E8:E10" si="0">IF(D8&gt;0,C8*D8,"")</f>
        <v>13455</v>
      </c>
      <c r="F8" s="55">
        <f>F7+K20</f>
        <v>9046</v>
      </c>
      <c r="G8" s="55">
        <f>F8-E$42</f>
        <v>8314.4</v>
      </c>
      <c r="H8" s="56">
        <f>IF(D8="","",E8-F8)</f>
        <v>4409</v>
      </c>
      <c r="I8" s="56">
        <f>IF(H8="","",H8+E$42)</f>
        <v>5140.6000000000004</v>
      </c>
      <c r="J8" s="57">
        <f>F8/C8</f>
        <v>6.0508361204013381</v>
      </c>
      <c r="K8" s="57">
        <f>G8/C8</f>
        <v>5.5614715719063543</v>
      </c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</row>
    <row r="9" spans="1:55" s="72" customFormat="1" x14ac:dyDescent="0.25">
      <c r="A9" s="90" t="s">
        <v>124</v>
      </c>
      <c r="B9" s="286">
        <v>0.91</v>
      </c>
      <c r="C9" s="283">
        <f>C$7*B9</f>
        <v>4186</v>
      </c>
      <c r="D9" s="287">
        <v>3.2</v>
      </c>
      <c r="E9" s="215">
        <f t="shared" si="0"/>
        <v>13395.2</v>
      </c>
      <c r="F9" s="60">
        <f>F7+K27-K42</f>
        <v>11265.188</v>
      </c>
      <c r="G9" s="55">
        <f>F9-E$42</f>
        <v>10533.588</v>
      </c>
      <c r="H9" s="56">
        <f>IF(D9="","",E9-F9)</f>
        <v>2130.0120000000006</v>
      </c>
      <c r="I9" s="56">
        <f>IF(H9="","",H9+E$42)</f>
        <v>2861.6120000000005</v>
      </c>
      <c r="J9" s="57">
        <f>F9/C9</f>
        <v>2.6911581462016243</v>
      </c>
      <c r="K9" s="57">
        <f>G9/C9</f>
        <v>2.5163850931677016</v>
      </c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</row>
    <row r="10" spans="1:55" s="72" customFormat="1" x14ac:dyDescent="0.25">
      <c r="A10" s="90" t="s">
        <v>82</v>
      </c>
      <c r="B10" s="286">
        <v>0.875</v>
      </c>
      <c r="C10" s="283">
        <f>C$7*B10</f>
        <v>4025</v>
      </c>
      <c r="D10" s="287">
        <v>3</v>
      </c>
      <c r="E10" s="215">
        <f t="shared" si="0"/>
        <v>12075</v>
      </c>
      <c r="F10" s="60">
        <f>F7+K37-K42</f>
        <v>9309.7625000000007</v>
      </c>
      <c r="G10" s="55">
        <f>F10-E$42</f>
        <v>8578.1625000000004</v>
      </c>
      <c r="H10" s="56">
        <f>IF(D10="","",E10-F10)</f>
        <v>2765.2374999999993</v>
      </c>
      <c r="I10" s="56">
        <f>IF(H10="","",H10+E$42)</f>
        <v>3496.8374999999992</v>
      </c>
      <c r="J10" s="57">
        <f>F10/C10</f>
        <v>2.3129844720496897</v>
      </c>
      <c r="K10" s="57">
        <f>G10/C10</f>
        <v>2.13122049689441</v>
      </c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</row>
    <row r="11" spans="1:55" s="72" customFormat="1" ht="18.75" thickBot="1" x14ac:dyDescent="0.3">
      <c r="A11" s="421"/>
      <c r="B11" s="421"/>
      <c r="C11" s="421"/>
      <c r="D11" s="421"/>
      <c r="E11" s="421"/>
      <c r="F11" s="421"/>
      <c r="G11" s="421"/>
      <c r="H11" s="421"/>
      <c r="I11" s="421"/>
      <c r="J11" s="421"/>
      <c r="K11" s="421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</row>
    <row r="12" spans="1:55" s="72" customFormat="1" ht="15" x14ac:dyDescent="0.25">
      <c r="A12" s="422" t="s">
        <v>144</v>
      </c>
      <c r="B12" s="422"/>
      <c r="C12" s="422"/>
      <c r="D12" s="422"/>
      <c r="E12" s="423"/>
      <c r="F12" s="428" t="s">
        <v>192</v>
      </c>
      <c r="G12" s="431" t="s">
        <v>150</v>
      </c>
      <c r="H12" s="432"/>
      <c r="I12" s="432"/>
      <c r="J12" s="432"/>
      <c r="K12" s="432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</row>
    <row r="13" spans="1:55" s="72" customFormat="1" x14ac:dyDescent="0.25">
      <c r="A13" s="424"/>
      <c r="B13" s="424"/>
      <c r="C13" s="424"/>
      <c r="D13" s="424"/>
      <c r="E13" s="425"/>
      <c r="F13" s="429"/>
      <c r="G13" s="431"/>
      <c r="H13" s="432"/>
      <c r="I13" s="432"/>
      <c r="J13" s="432"/>
      <c r="K13" s="432"/>
      <c r="L13" s="69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</row>
    <row r="14" spans="1:55" s="72" customFormat="1" ht="15" x14ac:dyDescent="0.25">
      <c r="A14" s="426"/>
      <c r="B14" s="426"/>
      <c r="C14" s="426"/>
      <c r="D14" s="426"/>
      <c r="E14" s="427"/>
      <c r="F14" s="429"/>
      <c r="G14" s="433"/>
      <c r="H14" s="434"/>
      <c r="I14" s="434"/>
      <c r="J14" s="434"/>
      <c r="K14" s="434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</row>
    <row r="15" spans="1:55" s="72" customFormat="1" ht="21.75" thickBot="1" x14ac:dyDescent="0.3">
      <c r="A15" s="435" t="s">
        <v>108</v>
      </c>
      <c r="B15" s="436"/>
      <c r="C15" s="436"/>
      <c r="D15" s="437"/>
      <c r="E15" s="288">
        <v>1600</v>
      </c>
      <c r="F15" s="430"/>
      <c r="G15" s="438" t="s">
        <v>122</v>
      </c>
      <c r="H15" s="413"/>
      <c r="I15" s="413"/>
      <c r="J15" s="76" t="s">
        <v>123</v>
      </c>
      <c r="K15" s="145" t="s">
        <v>0</v>
      </c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</row>
    <row r="16" spans="1:55" s="72" customFormat="1" x14ac:dyDescent="0.25">
      <c r="A16" s="404" t="s">
        <v>99</v>
      </c>
      <c r="B16" s="405"/>
      <c r="C16" s="410" t="s">
        <v>110</v>
      </c>
      <c r="D16" s="410"/>
      <c r="E16" s="146" t="s">
        <v>109</v>
      </c>
      <c r="F16" s="411" t="s">
        <v>188</v>
      </c>
      <c r="G16" s="413" t="s">
        <v>215</v>
      </c>
      <c r="H16" s="413"/>
      <c r="I16" s="413"/>
      <c r="J16" s="221">
        <f>VLOOKUP(G16,'FİYAT LİSTESİ'!B:D,3,0)</f>
        <v>1375</v>
      </c>
      <c r="K16" s="114">
        <f>ROUNDUP(C8*J16/1000,0)</f>
        <v>2056</v>
      </c>
      <c r="L16" s="69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</row>
    <row r="17" spans="1:55" s="72" customFormat="1" x14ac:dyDescent="0.25">
      <c r="A17" s="406"/>
      <c r="B17" s="407"/>
      <c r="C17" s="414" t="s">
        <v>100</v>
      </c>
      <c r="D17" s="414"/>
      <c r="E17" s="59">
        <f>VLOOKUP(C17,'FİYAT LİSTESİ'!B:D,3,0)</f>
        <v>375</v>
      </c>
      <c r="F17" s="412"/>
      <c r="G17" s="415" t="s">
        <v>161</v>
      </c>
      <c r="H17" s="415"/>
      <c r="I17" s="415"/>
      <c r="J17" s="221">
        <f>VLOOKUP(G17,'FİYAT LİSTESİ'!B:D,3,0)</f>
        <v>150</v>
      </c>
      <c r="K17" s="115">
        <f>J17</f>
        <v>150</v>
      </c>
      <c r="L17" s="69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</row>
    <row r="18" spans="1:55" s="72" customFormat="1" x14ac:dyDescent="0.25">
      <c r="A18" s="406"/>
      <c r="B18" s="407"/>
      <c r="C18" s="416" t="s">
        <v>101</v>
      </c>
      <c r="D18" s="416"/>
      <c r="E18" s="59">
        <f>VLOOKUP(C18,'FİYAT LİSTESİ'!B:D,3,0)</f>
        <v>305</v>
      </c>
      <c r="F18" s="412"/>
      <c r="G18" s="413" t="s">
        <v>162</v>
      </c>
      <c r="H18" s="413"/>
      <c r="I18" s="413"/>
      <c r="J18" s="221">
        <f>VLOOKUP(G18,'FİYAT LİSTESİ'!B:D,3,0)</f>
        <v>50</v>
      </c>
      <c r="K18" s="417">
        <f>J18*J19</f>
        <v>150</v>
      </c>
      <c r="L18" s="69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</row>
    <row r="19" spans="1:55" s="72" customFormat="1" x14ac:dyDescent="0.25">
      <c r="A19" s="406"/>
      <c r="B19" s="407"/>
      <c r="C19" s="414" t="s">
        <v>102</v>
      </c>
      <c r="D19" s="414"/>
      <c r="E19" s="59">
        <f>VLOOKUP(C19,'FİYAT LİSTESİ'!B:D,3,0)</f>
        <v>165</v>
      </c>
      <c r="F19" s="412"/>
      <c r="G19" s="413" t="s">
        <v>118</v>
      </c>
      <c r="H19" s="413"/>
      <c r="I19" s="413"/>
      <c r="J19" s="221">
        <f>ROUNDUP(C8/600,0)</f>
        <v>3</v>
      </c>
      <c r="K19" s="418"/>
      <c r="L19" s="69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</row>
    <row r="20" spans="1:55" s="72" customFormat="1" x14ac:dyDescent="0.25">
      <c r="A20" s="408"/>
      <c r="B20" s="409"/>
      <c r="C20" s="419" t="s">
        <v>18</v>
      </c>
      <c r="D20" s="419"/>
      <c r="E20" s="61">
        <f>SUM(E17:E19)</f>
        <v>845</v>
      </c>
      <c r="F20" s="412"/>
      <c r="G20" s="413" t="s">
        <v>18</v>
      </c>
      <c r="H20" s="413"/>
      <c r="I20" s="413"/>
      <c r="J20" s="413"/>
      <c r="K20" s="114">
        <f>SUM(K16:K18)</f>
        <v>2356</v>
      </c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</row>
    <row r="21" spans="1:55" s="72" customFormat="1" ht="23.25" x14ac:dyDescent="0.25">
      <c r="A21" s="402"/>
      <c r="B21" s="403"/>
      <c r="C21" s="403"/>
      <c r="D21" s="403"/>
      <c r="E21" s="403"/>
      <c r="F21" s="403"/>
      <c r="G21" s="403"/>
      <c r="H21" s="403"/>
      <c r="I21" s="403"/>
      <c r="J21" s="403"/>
      <c r="K21" s="403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</row>
    <row r="22" spans="1:55" s="72" customFormat="1" ht="25.5" x14ac:dyDescent="0.25">
      <c r="A22" s="380" t="s">
        <v>103</v>
      </c>
      <c r="B22" s="92" t="s">
        <v>107</v>
      </c>
      <c r="C22" s="96" t="s">
        <v>104</v>
      </c>
      <c r="D22" s="74" t="s">
        <v>105</v>
      </c>
      <c r="E22" s="75" t="s">
        <v>0</v>
      </c>
      <c r="F22" s="382" t="s">
        <v>189</v>
      </c>
      <c r="G22" s="383" t="s">
        <v>125</v>
      </c>
      <c r="H22" s="383"/>
      <c r="I22" s="383"/>
      <c r="J22" s="66">
        <f>VLOOKUP(G22,'FİYAT LİSTESİ'!G:I,3,0)</f>
        <v>850</v>
      </c>
      <c r="K22" s="67">
        <f>J22</f>
        <v>850</v>
      </c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</row>
    <row r="23" spans="1:55" s="72" customFormat="1" ht="22.5" customHeight="1" x14ac:dyDescent="0.25">
      <c r="A23" s="381"/>
      <c r="B23" s="93" t="s">
        <v>83</v>
      </c>
      <c r="C23" s="289">
        <v>16.5</v>
      </c>
      <c r="D23" s="62">
        <f>VLOOKUP(B23,'FİYAT LİSTESİ'!B:D,3,0)</f>
        <v>150</v>
      </c>
      <c r="E23" s="62">
        <f>C23*D23</f>
        <v>2475</v>
      </c>
      <c r="F23" s="382"/>
      <c r="G23" s="384" t="s">
        <v>126</v>
      </c>
      <c r="H23" s="384"/>
      <c r="I23" s="384"/>
      <c r="J23" s="66">
        <f>VLOOKUP(G23,'FİYAT LİSTESİ'!G:I,3,0)</f>
        <v>700</v>
      </c>
      <c r="K23" s="67">
        <f>J23*C9/1000</f>
        <v>2930.2</v>
      </c>
      <c r="L23" s="69"/>
      <c r="M23" s="69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</row>
    <row r="24" spans="1:55" s="72" customFormat="1" ht="21" customHeight="1" x14ac:dyDescent="0.25">
      <c r="A24" s="381"/>
      <c r="B24" s="94" t="s">
        <v>84</v>
      </c>
      <c r="C24" s="290">
        <v>5</v>
      </c>
      <c r="D24" s="62">
        <f>VLOOKUP(B24,'FİYAT LİSTESİ'!B:D,3,0)</f>
        <v>12</v>
      </c>
      <c r="E24" s="63">
        <f>C24*D24</f>
        <v>60</v>
      </c>
      <c r="F24" s="382"/>
      <c r="G24" s="383" t="s">
        <v>257</v>
      </c>
      <c r="H24" s="383"/>
      <c r="I24" s="383"/>
      <c r="J24" s="66">
        <f>VLOOKUP(G24,'FİYAT LİSTESİ'!G:I,3,0)</f>
        <v>2900</v>
      </c>
      <c r="K24" s="67">
        <f>(C9/1000)*(J24/50)</f>
        <v>242.78800000000001</v>
      </c>
      <c r="L24" s="69"/>
      <c r="M24" s="69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</row>
    <row r="25" spans="1:55" s="72" customFormat="1" ht="24.6" customHeight="1" x14ac:dyDescent="0.25">
      <c r="A25" s="381"/>
      <c r="B25" s="95" t="s">
        <v>18</v>
      </c>
      <c r="C25" s="291">
        <f>SUM(C23:C24)</f>
        <v>21.5</v>
      </c>
      <c r="D25" s="64" t="s">
        <v>106</v>
      </c>
      <c r="E25" s="65">
        <f>SUM(E23+E24)</f>
        <v>2535</v>
      </c>
      <c r="F25" s="382"/>
      <c r="G25" s="385" t="s">
        <v>190</v>
      </c>
      <c r="H25" s="386"/>
      <c r="I25" s="387"/>
      <c r="J25" s="66">
        <f>VLOOKUP(G25,'FİYAT LİSTESİ'!G:I,3,0)</f>
        <v>200</v>
      </c>
      <c r="K25" s="117">
        <f>J25*C9/1000</f>
        <v>837.2</v>
      </c>
      <c r="L25" s="69"/>
      <c r="M25" s="69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</row>
    <row r="26" spans="1:55" s="72" customFormat="1" ht="23.25" x14ac:dyDescent="0.25">
      <c r="A26" s="388"/>
      <c r="B26" s="388"/>
      <c r="C26" s="388"/>
      <c r="D26" s="388"/>
      <c r="E26" s="389"/>
      <c r="F26" s="382"/>
      <c r="G26" s="383" t="s">
        <v>127</v>
      </c>
      <c r="H26" s="383"/>
      <c r="I26" s="383"/>
      <c r="J26" s="147">
        <f>ROUNDUP(C7/1000,1)</f>
        <v>4.5999999999999996</v>
      </c>
      <c r="K26" s="118"/>
      <c r="L26" s="69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</row>
    <row r="27" spans="1:55" s="72" customFormat="1" ht="30" x14ac:dyDescent="0.25">
      <c r="A27" s="390" t="s">
        <v>111</v>
      </c>
      <c r="B27" s="219" t="s">
        <v>110</v>
      </c>
      <c r="C27" s="79" t="s">
        <v>104</v>
      </c>
      <c r="D27" s="79" t="s">
        <v>105</v>
      </c>
      <c r="E27" s="79" t="s">
        <v>0</v>
      </c>
      <c r="F27" s="382"/>
      <c r="G27" s="385" t="s">
        <v>18</v>
      </c>
      <c r="H27" s="386"/>
      <c r="I27" s="387"/>
      <c r="J27" s="87"/>
      <c r="K27" s="67">
        <f>SUM(K22:K26)</f>
        <v>4860.1880000000001</v>
      </c>
      <c r="L27" s="69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</row>
    <row r="28" spans="1:55" s="72" customFormat="1" ht="15.75" x14ac:dyDescent="0.25">
      <c r="A28" s="391"/>
      <c r="B28" s="88" t="s">
        <v>85</v>
      </c>
      <c r="C28" s="292">
        <v>10</v>
      </c>
      <c r="D28" s="103">
        <f>VLOOKUP(B28,'FİYAT LİSTESİ'!B:D,3,0)</f>
        <v>24</v>
      </c>
      <c r="E28" s="104">
        <f>D28*C28</f>
        <v>240</v>
      </c>
      <c r="F28" s="395"/>
      <c r="G28" s="396"/>
      <c r="H28" s="396"/>
      <c r="I28" s="396"/>
      <c r="J28" s="396"/>
      <c r="K28" s="397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</row>
    <row r="29" spans="1:55" s="72" customFormat="1" ht="18" x14ac:dyDescent="0.25">
      <c r="A29" s="391"/>
      <c r="B29" s="105" t="s">
        <v>98</v>
      </c>
      <c r="C29" s="292">
        <v>10</v>
      </c>
      <c r="D29" s="103">
        <f>VLOOKUP(B29,'FİYAT LİSTESİ'!B:D,3,0)</f>
        <v>23</v>
      </c>
      <c r="E29" s="104">
        <f>D29*C29</f>
        <v>230</v>
      </c>
      <c r="F29" s="398" t="s">
        <v>128</v>
      </c>
      <c r="G29" s="361" t="s">
        <v>125</v>
      </c>
      <c r="H29" s="361"/>
      <c r="I29" s="361"/>
      <c r="J29" s="66">
        <f>VLOOKUP(G29,'FİYAT LİSTESİ'!G:I,3,0)</f>
        <v>850</v>
      </c>
      <c r="K29" s="142">
        <f>J29</f>
        <v>850</v>
      </c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</row>
    <row r="30" spans="1:55" s="72" customFormat="1" ht="18" x14ac:dyDescent="0.25">
      <c r="A30" s="391"/>
      <c r="B30" s="105" t="s">
        <v>112</v>
      </c>
      <c r="C30" s="292" t="s">
        <v>113</v>
      </c>
      <c r="D30" s="103">
        <f>VLOOKUP(B30,'FİYAT LİSTESİ'!B:D,3,0)</f>
        <v>450</v>
      </c>
      <c r="E30" s="104">
        <f>IF(C30="YOK",0,D30*C30)</f>
        <v>0</v>
      </c>
      <c r="F30" s="398"/>
      <c r="G30" s="361" t="s">
        <v>191</v>
      </c>
      <c r="H30" s="361"/>
      <c r="I30" s="361"/>
      <c r="J30" s="66">
        <f>VLOOKUP(G30,'FİYAT LİSTESİ'!G:I,3,0)</f>
        <v>200</v>
      </c>
      <c r="K30" s="142">
        <f>J30*C10/1000</f>
        <v>805</v>
      </c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</row>
    <row r="31" spans="1:55" s="72" customFormat="1" ht="18" x14ac:dyDescent="0.25">
      <c r="A31" s="391"/>
      <c r="B31" s="106"/>
      <c r="C31" s="88" t="s">
        <v>117</v>
      </c>
      <c r="D31" s="217" t="s">
        <v>116</v>
      </c>
      <c r="E31" s="104" t="s">
        <v>0</v>
      </c>
      <c r="F31" s="398"/>
      <c r="G31" s="399" t="s">
        <v>257</v>
      </c>
      <c r="H31" s="400"/>
      <c r="I31" s="401"/>
      <c r="J31" s="66">
        <f>VLOOKUP(G31,'FİYAT LİSTESİ'!G:I,3,0)</f>
        <v>2900</v>
      </c>
      <c r="K31" s="142">
        <f>(C10/1000)*(J31/50)</f>
        <v>233.45000000000002</v>
      </c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</row>
    <row r="32" spans="1:55" s="72" customFormat="1" ht="18" x14ac:dyDescent="0.25">
      <c r="A32" s="391"/>
      <c r="B32" s="107" t="s">
        <v>86</v>
      </c>
      <c r="C32" s="293">
        <v>1</v>
      </c>
      <c r="D32" s="218">
        <f>VLOOKUP(B32,'FİYAT LİSTESİ'!B:D,3,0)</f>
        <v>55</v>
      </c>
      <c r="E32" s="104">
        <f>IF(C32="YOK",0,D32*C32)</f>
        <v>55</v>
      </c>
      <c r="F32" s="398"/>
      <c r="G32" s="361" t="s">
        <v>97</v>
      </c>
      <c r="H32" s="361"/>
      <c r="I32" s="361"/>
      <c r="J32" s="66">
        <f>VLOOKUP(G32,'FİYAT LİSTESİ'!G:I,3,0)</f>
        <v>50</v>
      </c>
      <c r="K32" s="142">
        <f>J32*C10/1000</f>
        <v>201.25</v>
      </c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</row>
    <row r="33" spans="1:55" s="72" customFormat="1" ht="18" x14ac:dyDescent="0.25">
      <c r="A33" s="391"/>
      <c r="B33" s="88" t="s">
        <v>114</v>
      </c>
      <c r="C33" s="292" t="s">
        <v>113</v>
      </c>
      <c r="D33" s="218">
        <f>VLOOKUP(B33,'FİYAT LİSTESİ'!B:D,3,0)</f>
        <v>55</v>
      </c>
      <c r="E33" s="104">
        <f>IF(C33="YOK",0,C33*D33)</f>
        <v>0</v>
      </c>
      <c r="F33" s="398"/>
      <c r="G33" s="361" t="s">
        <v>129</v>
      </c>
      <c r="H33" s="361"/>
      <c r="I33" s="361"/>
      <c r="J33" s="66">
        <f>VLOOKUP(G33,'FİYAT LİSTESİ'!G:I,3,0)</f>
        <v>35</v>
      </c>
      <c r="K33" s="376">
        <f>J33*J34*C10/1000</f>
        <v>211.3125</v>
      </c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</row>
    <row r="34" spans="1:55" s="72" customFormat="1" ht="18" x14ac:dyDescent="0.25">
      <c r="A34" s="391"/>
      <c r="B34" s="105" t="s">
        <v>115</v>
      </c>
      <c r="C34" s="292">
        <v>2</v>
      </c>
      <c r="D34" s="218">
        <f>VLOOKUP(B34,'FİYAT LİSTESİ'!B:D,3,0)</f>
        <v>200</v>
      </c>
      <c r="E34" s="104">
        <f>IF(C34="YOK",0,D34*C34)</f>
        <v>400</v>
      </c>
      <c r="F34" s="398"/>
      <c r="G34" s="361" t="s">
        <v>131</v>
      </c>
      <c r="H34" s="361"/>
      <c r="I34" s="361"/>
      <c r="J34" s="66">
        <f>VLOOKUP(G34,'FİYAT LİSTESİ'!G:I,3,0)</f>
        <v>1.5</v>
      </c>
      <c r="K34" s="376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</row>
    <row r="35" spans="1:55" s="72" customFormat="1" ht="15.75" customHeight="1" x14ac:dyDescent="0.25">
      <c r="A35" s="391"/>
      <c r="B35" s="88" t="s">
        <v>87</v>
      </c>
      <c r="C35" s="292">
        <f>IF(C34="YOK",0,C34)</f>
        <v>2</v>
      </c>
      <c r="D35" s="218">
        <f>VLOOKUP(B35,'FİYAT LİSTESİ'!B:D,3,0)</f>
        <v>250</v>
      </c>
      <c r="E35" s="104">
        <f>IF(C35="YOK",0,D35*C35)</f>
        <v>500</v>
      </c>
      <c r="F35" s="398"/>
      <c r="G35" s="377" t="s">
        <v>130</v>
      </c>
      <c r="H35" s="377"/>
      <c r="I35" s="377"/>
      <c r="J35" s="378">
        <f>VLOOKUP(G35,'FİYAT LİSTESİ'!G:I,3,0)</f>
        <v>150</v>
      </c>
      <c r="K35" s="376">
        <f>J35*C10/1000</f>
        <v>603.75</v>
      </c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</row>
    <row r="36" spans="1:55" s="72" customFormat="1" ht="15.75" customHeight="1" x14ac:dyDescent="0.25">
      <c r="A36" s="391"/>
      <c r="B36" s="392" t="s">
        <v>18</v>
      </c>
      <c r="C36" s="393"/>
      <c r="D36" s="394"/>
      <c r="E36" s="220">
        <f>SUM(E32:E35)+SUM(E28:E30)</f>
        <v>1425</v>
      </c>
      <c r="F36" s="398"/>
      <c r="G36" s="377"/>
      <c r="H36" s="377"/>
      <c r="I36" s="377"/>
      <c r="J36" s="379"/>
      <c r="K36" s="376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</row>
    <row r="37" spans="1:55" s="72" customFormat="1" ht="23.25" x14ac:dyDescent="0.25">
      <c r="A37" s="360" t="s">
        <v>119</v>
      </c>
      <c r="B37" s="360"/>
      <c r="C37" s="360"/>
      <c r="D37" s="360"/>
      <c r="E37" s="68">
        <f>E15+E20+E25+E36</f>
        <v>6405</v>
      </c>
      <c r="F37" s="398"/>
      <c r="G37" s="361" t="s">
        <v>18</v>
      </c>
      <c r="H37" s="361"/>
      <c r="I37" s="361"/>
      <c r="J37" s="361"/>
      <c r="K37" s="142">
        <f>SUM(K29:K36)</f>
        <v>2904.7624999999998</v>
      </c>
      <c r="L37" s="69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</row>
    <row r="38" spans="1:55" s="72" customFormat="1" ht="15" x14ac:dyDescent="0.25">
      <c r="A38" s="70"/>
      <c r="B38" s="70"/>
      <c r="C38" s="70"/>
      <c r="D38" s="70"/>
      <c r="E38" s="70"/>
      <c r="F38" s="372"/>
      <c r="G38" s="372"/>
      <c r="H38" s="372"/>
      <c r="I38" s="372"/>
      <c r="J38" s="372"/>
      <c r="K38" s="372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</row>
    <row r="39" spans="1:55" s="72" customFormat="1" x14ac:dyDescent="0.25">
      <c r="A39" s="368" t="s">
        <v>120</v>
      </c>
      <c r="B39" s="369" t="s">
        <v>90</v>
      </c>
      <c r="C39" s="370"/>
      <c r="D39" s="371"/>
      <c r="E39" s="135">
        <f>VLOOKUP(B39,'FİYAT LİSTESİ'!G:I,2,0)</f>
        <v>317</v>
      </c>
      <c r="F39" s="363" t="s">
        <v>132</v>
      </c>
      <c r="G39" s="364" t="s">
        <v>122</v>
      </c>
      <c r="H39" s="364"/>
      <c r="I39" s="97" t="s">
        <v>117</v>
      </c>
      <c r="J39" s="125" t="s">
        <v>116</v>
      </c>
      <c r="K39" s="98" t="s">
        <v>0</v>
      </c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</row>
    <row r="40" spans="1:55" s="70" customFormat="1" ht="21" customHeight="1" x14ac:dyDescent="0.25">
      <c r="A40" s="368"/>
      <c r="B40" s="369" t="s">
        <v>91</v>
      </c>
      <c r="C40" s="370"/>
      <c r="D40" s="371"/>
      <c r="E40" s="135">
        <f>VLOOKUP(B40,'FİYAT LİSTESİ'!G:I,2,0)</f>
        <v>317</v>
      </c>
      <c r="F40" s="363"/>
      <c r="G40" s="364" t="s">
        <v>88</v>
      </c>
      <c r="H40" s="364"/>
      <c r="I40" s="294">
        <v>1</v>
      </c>
      <c r="J40" s="216">
        <f>VLOOKUP(G40,'FİYAT LİSTESİ'!G:I,3,0)</f>
        <v>175</v>
      </c>
      <c r="K40" s="100">
        <f>IF(I40="YOK",0,I40*J40)</f>
        <v>175</v>
      </c>
      <c r="L40" s="69"/>
    </row>
    <row r="41" spans="1:55" s="70" customFormat="1" x14ac:dyDescent="0.25">
      <c r="A41" s="368"/>
      <c r="B41" s="373" t="s">
        <v>92</v>
      </c>
      <c r="C41" s="374"/>
      <c r="D41" s="375"/>
      <c r="E41" s="135">
        <f>VLOOKUP(B41,'FİYAT LİSTESİ'!G:I,2,0)</f>
        <v>97.6</v>
      </c>
      <c r="F41" s="363"/>
      <c r="G41" s="364" t="s">
        <v>89</v>
      </c>
      <c r="H41" s="364"/>
      <c r="I41" s="294">
        <v>1</v>
      </c>
      <c r="J41" s="216">
        <f>VLOOKUP(G41,'FİYAT LİSTESİ'!G:I,3,0)</f>
        <v>110</v>
      </c>
      <c r="K41" s="100">
        <f>IF(I41="YOK",0,I41*J41)</f>
        <v>110</v>
      </c>
      <c r="L41" s="69"/>
    </row>
    <row r="42" spans="1:55" s="70" customFormat="1" x14ac:dyDescent="0.25">
      <c r="A42" s="368"/>
      <c r="B42" s="136" t="s">
        <v>133</v>
      </c>
      <c r="C42" s="137"/>
      <c r="D42" s="138"/>
      <c r="E42" s="135">
        <f>SUM(E39:E41)</f>
        <v>731.6</v>
      </c>
      <c r="F42" s="363"/>
      <c r="G42" s="365" t="s">
        <v>18</v>
      </c>
      <c r="H42" s="366"/>
      <c r="I42" s="366"/>
      <c r="J42" s="367"/>
      <c r="K42" s="100">
        <f>SUM(K40:K41)</f>
        <v>285</v>
      </c>
      <c r="L42" s="69"/>
    </row>
    <row r="43" spans="1:55" s="70" customFormat="1" x14ac:dyDescent="0.25">
      <c r="A43" s="362"/>
      <c r="B43" s="362"/>
      <c r="C43" s="362"/>
      <c r="D43" s="362"/>
      <c r="E43" s="69"/>
      <c r="F43" s="69"/>
      <c r="G43" s="69"/>
      <c r="L43" s="69"/>
    </row>
    <row r="44" spans="1:55" s="70" customFormat="1" x14ac:dyDescent="0.25">
      <c r="A44" s="69"/>
      <c r="B44" s="69"/>
      <c r="C44" s="69"/>
      <c r="D44" s="69"/>
      <c r="E44" s="69"/>
      <c r="G44" s="69"/>
      <c r="H44" s="69"/>
      <c r="I44" s="69"/>
      <c r="J44" s="69"/>
      <c r="K44" s="69"/>
      <c r="L44" s="69"/>
    </row>
    <row r="45" spans="1:55" s="70" customFormat="1" x14ac:dyDescent="0.25">
      <c r="A45" s="69"/>
      <c r="B45" s="77"/>
      <c r="C45" s="77"/>
      <c r="D45" s="77"/>
      <c r="E45" s="69"/>
      <c r="G45" s="69"/>
      <c r="H45" s="69"/>
      <c r="I45" s="69"/>
      <c r="J45" s="69"/>
      <c r="K45" s="69"/>
      <c r="L45" s="69"/>
    </row>
    <row r="46" spans="1:55" s="70" customFormat="1" x14ac:dyDescent="0.25">
      <c r="A46" s="69"/>
      <c r="B46" s="69"/>
      <c r="C46" s="69"/>
      <c r="D46" s="69"/>
      <c r="E46" s="69"/>
      <c r="G46" s="69"/>
      <c r="H46" s="69"/>
      <c r="I46" s="69"/>
      <c r="J46" s="69"/>
      <c r="K46" s="69"/>
      <c r="L46" s="69"/>
    </row>
    <row r="47" spans="1:55" s="70" customFormat="1" x14ac:dyDescent="0.25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</row>
    <row r="48" spans="1:55" s="70" customFormat="1" x14ac:dyDescent="0.25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</row>
    <row r="49" spans="1:12" s="70" customFormat="1" x14ac:dyDescent="0.25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</row>
    <row r="50" spans="1:12" s="70" customFormat="1" x14ac:dyDescent="0.25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</row>
    <row r="51" spans="1:12" s="70" customFormat="1" x14ac:dyDescent="0.25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</row>
    <row r="52" spans="1:12" s="70" customFormat="1" x14ac:dyDescent="0.25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</row>
    <row r="53" spans="1:12" s="70" customFormat="1" x14ac:dyDescent="0.25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</row>
    <row r="54" spans="1:12" s="70" customFormat="1" x14ac:dyDescent="0.25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</row>
    <row r="55" spans="1:12" s="70" customFormat="1" x14ac:dyDescent="0.25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</row>
    <row r="56" spans="1:12" s="70" customFormat="1" x14ac:dyDescent="0.25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</row>
    <row r="57" spans="1:12" s="70" customFormat="1" x14ac:dyDescent="0.25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</row>
    <row r="58" spans="1:12" s="70" customFormat="1" x14ac:dyDescent="0.25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</row>
    <row r="59" spans="1:12" s="70" customFormat="1" x14ac:dyDescent="0.25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</row>
    <row r="60" spans="1:12" s="70" customFormat="1" x14ac:dyDescent="0.25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</row>
    <row r="61" spans="1:12" s="70" customFormat="1" x14ac:dyDescent="0.25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</row>
    <row r="62" spans="1:12" s="70" customFormat="1" x14ac:dyDescent="0.25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</row>
    <row r="63" spans="1:12" s="70" customFormat="1" x14ac:dyDescent="0.25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</row>
    <row r="64" spans="1:12" s="70" customFormat="1" x14ac:dyDescent="0.25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</row>
    <row r="65" spans="1:12" s="70" customFormat="1" x14ac:dyDescent="0.25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</row>
    <row r="66" spans="1:12" s="70" customFormat="1" x14ac:dyDescent="0.25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</row>
    <row r="67" spans="1:12" s="70" customFormat="1" x14ac:dyDescent="0.25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</row>
    <row r="68" spans="1:12" s="70" customFormat="1" x14ac:dyDescent="0.25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</row>
    <row r="69" spans="1:12" s="70" customFormat="1" x14ac:dyDescent="0.25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</row>
    <row r="70" spans="1:12" s="70" customFormat="1" x14ac:dyDescent="0.25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</row>
    <row r="71" spans="1:12" s="70" customFormat="1" x14ac:dyDescent="0.25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</row>
    <row r="72" spans="1:12" s="70" customFormat="1" x14ac:dyDescent="0.25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</row>
    <row r="73" spans="1:12" s="70" customFormat="1" x14ac:dyDescent="0.25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</row>
    <row r="74" spans="1:12" s="70" customFormat="1" x14ac:dyDescent="0.25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</row>
    <row r="75" spans="1:12" s="70" customFormat="1" x14ac:dyDescent="0.25">
      <c r="A75" s="69"/>
      <c r="B75" s="69"/>
      <c r="C75" s="69"/>
      <c r="D75" s="69"/>
      <c r="E75" s="69"/>
      <c r="F75" s="69"/>
      <c r="G75" s="69"/>
      <c r="H75" s="69"/>
      <c r="I75" s="69"/>
      <c r="J75" s="78"/>
      <c r="K75" s="69"/>
      <c r="L75" s="69"/>
    </row>
    <row r="76" spans="1:12" s="70" customFormat="1" x14ac:dyDescent="0.25">
      <c r="A76" s="69"/>
      <c r="B76" s="69"/>
      <c r="C76" s="69"/>
      <c r="D76" s="69"/>
      <c r="E76" s="69"/>
      <c r="F76" s="69"/>
      <c r="G76" s="78"/>
      <c r="H76" s="78"/>
      <c r="I76" s="78"/>
      <c r="J76" s="78"/>
      <c r="K76" s="69"/>
      <c r="L76" s="69"/>
    </row>
    <row r="77" spans="1:12" s="70" customFormat="1" x14ac:dyDescent="0.25">
      <c r="A77" s="69"/>
      <c r="B77" s="69"/>
      <c r="C77" s="69"/>
      <c r="D77" s="69"/>
      <c r="E77" s="69"/>
      <c r="F77" s="69"/>
      <c r="G77" s="78"/>
      <c r="H77" s="78"/>
      <c r="I77" s="78"/>
      <c r="J77" s="78"/>
      <c r="K77" s="69"/>
      <c r="L77" s="69"/>
    </row>
    <row r="78" spans="1:12" s="70" customFormat="1" x14ac:dyDescent="0.25">
      <c r="A78" s="69"/>
      <c r="B78" s="69"/>
      <c r="C78" s="69"/>
      <c r="D78" s="69"/>
      <c r="E78" s="69"/>
      <c r="F78" s="73"/>
      <c r="G78" s="78"/>
      <c r="H78" s="78"/>
      <c r="I78" s="78"/>
      <c r="J78" s="78"/>
      <c r="K78" s="69"/>
      <c r="L78" s="69"/>
    </row>
    <row r="79" spans="1:12" s="70" customFormat="1" x14ac:dyDescent="0.25">
      <c r="A79" s="69"/>
      <c r="B79" s="69"/>
      <c r="C79" s="69"/>
      <c r="D79" s="69"/>
      <c r="E79" s="69"/>
      <c r="F79" s="73"/>
      <c r="G79" s="78"/>
      <c r="H79" s="78"/>
      <c r="I79" s="78"/>
      <c r="J79" s="78"/>
      <c r="K79" s="69"/>
      <c r="L79" s="69"/>
    </row>
    <row r="80" spans="1:12" s="70" customFormat="1" x14ac:dyDescent="0.25">
      <c r="A80" s="69"/>
      <c r="B80" s="69"/>
      <c r="C80" s="69"/>
      <c r="D80" s="69"/>
      <c r="E80" s="69"/>
      <c r="F80" s="73"/>
      <c r="G80" s="78"/>
      <c r="H80" s="78"/>
      <c r="I80" s="78"/>
      <c r="J80" s="78"/>
      <c r="K80" s="69"/>
      <c r="L80" s="69"/>
    </row>
    <row r="81" spans="1:5" x14ac:dyDescent="0.25">
      <c r="A81" s="69"/>
      <c r="B81" s="69"/>
      <c r="C81" s="69"/>
      <c r="D81" s="69"/>
      <c r="E81" s="69"/>
    </row>
    <row r="82" spans="1:5" x14ac:dyDescent="0.25">
      <c r="A82" s="69"/>
      <c r="B82" s="69"/>
      <c r="C82" s="69"/>
      <c r="D82" s="69"/>
      <c r="E82" s="69"/>
    </row>
    <row r="83" spans="1:5" x14ac:dyDescent="0.25">
      <c r="A83" s="69"/>
      <c r="B83" s="69"/>
      <c r="C83" s="69"/>
      <c r="D83" s="69"/>
      <c r="E83" s="69"/>
    </row>
  </sheetData>
  <sheetProtection algorithmName="SHA-512" hashValue="1JJrwO/8V1GVKH0T4j2h7UK0Egt36xrkc+1giyXNsccKAimmHAKS6HbSHIakhIuDteVnEmXqLgG9rhjN67A3Ig==" saltValue="CCUUjegajbqKkcaBKUaSAA==" spinCount="100000" sheet="1" objects="1" scenarios="1"/>
  <mergeCells count="73">
    <mergeCell ref="A1:K1"/>
    <mergeCell ref="A2:E3"/>
    <mergeCell ref="F2:K3"/>
    <mergeCell ref="A4:A6"/>
    <mergeCell ref="B4:B6"/>
    <mergeCell ref="C4:C6"/>
    <mergeCell ref="D4:D6"/>
    <mergeCell ref="E4:E6"/>
    <mergeCell ref="F4:G4"/>
    <mergeCell ref="H4:I4"/>
    <mergeCell ref="J4:K4"/>
    <mergeCell ref="F5:F6"/>
    <mergeCell ref="G5:G6"/>
    <mergeCell ref="H5:H6"/>
    <mergeCell ref="I5:I6"/>
    <mergeCell ref="J5:J6"/>
    <mergeCell ref="K5:K6"/>
    <mergeCell ref="A11:K11"/>
    <mergeCell ref="A12:E14"/>
    <mergeCell ref="F12:F15"/>
    <mergeCell ref="G12:K14"/>
    <mergeCell ref="A15:D15"/>
    <mergeCell ref="G15:I15"/>
    <mergeCell ref="A21:K21"/>
    <mergeCell ref="A16:B20"/>
    <mergeCell ref="C16:D16"/>
    <mergeCell ref="F16:F20"/>
    <mergeCell ref="G16:I16"/>
    <mergeCell ref="C17:D17"/>
    <mergeCell ref="G17:I17"/>
    <mergeCell ref="C18:D18"/>
    <mergeCell ref="G18:I18"/>
    <mergeCell ref="K18:K19"/>
    <mergeCell ref="C19:D19"/>
    <mergeCell ref="G19:I19"/>
    <mergeCell ref="C20:D20"/>
    <mergeCell ref="G20:J20"/>
    <mergeCell ref="A22:A25"/>
    <mergeCell ref="F22:F27"/>
    <mergeCell ref="G22:I22"/>
    <mergeCell ref="G23:I23"/>
    <mergeCell ref="G24:I24"/>
    <mergeCell ref="G25:I25"/>
    <mergeCell ref="A26:E26"/>
    <mergeCell ref="G26:I26"/>
    <mergeCell ref="A27:A36"/>
    <mergeCell ref="G27:I27"/>
    <mergeCell ref="B36:D36"/>
    <mergeCell ref="F28:K28"/>
    <mergeCell ref="F29:F37"/>
    <mergeCell ref="G29:I29"/>
    <mergeCell ref="G30:I30"/>
    <mergeCell ref="G31:I31"/>
    <mergeCell ref="G32:I32"/>
    <mergeCell ref="G33:I33"/>
    <mergeCell ref="K33:K34"/>
    <mergeCell ref="G34:I34"/>
    <mergeCell ref="G35:I36"/>
    <mergeCell ref="J35:J36"/>
    <mergeCell ref="K35:K36"/>
    <mergeCell ref="A37:D37"/>
    <mergeCell ref="G37:J37"/>
    <mergeCell ref="A43:D43"/>
    <mergeCell ref="F39:F42"/>
    <mergeCell ref="G39:H39"/>
    <mergeCell ref="G40:H40"/>
    <mergeCell ref="G41:H41"/>
    <mergeCell ref="G42:J42"/>
    <mergeCell ref="A39:A42"/>
    <mergeCell ref="B39:D39"/>
    <mergeCell ref="B40:D40"/>
    <mergeCell ref="F38:K38"/>
    <mergeCell ref="B41:D41"/>
  </mergeCells>
  <pageMargins left="0.7" right="0.7" top="0.75" bottom="0.75" header="0.3" footer="0.3"/>
  <ignoredErrors>
    <ignoredError sqref="E39:E41 C8:K10 E7:K7 E17:E20 D23:E25 D28:E32 E36 D34:E35 D33 J16:K19 K20 J22:K26 K27 J29:K36 K37 J40:K41" unlockedFormula="1"/>
    <ignoredError sqref="E33" formula="1" unlocked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K84"/>
  <sheetViews>
    <sheetView topLeftCell="A22" workbookViewId="0">
      <selection activeCell="G32" sqref="G32:I32"/>
    </sheetView>
  </sheetViews>
  <sheetFormatPr defaultColWidth="9.140625" defaultRowHeight="21" x14ac:dyDescent="0.25"/>
  <cols>
    <col min="1" max="1" width="20.42578125" style="260" customWidth="1"/>
    <col min="2" max="2" width="25.42578125" style="260" customWidth="1"/>
    <col min="3" max="3" width="17.140625" style="260" customWidth="1"/>
    <col min="4" max="4" width="15" style="260" customWidth="1"/>
    <col min="5" max="5" width="15.7109375" style="260" bestFit="1" customWidth="1"/>
    <col min="6" max="6" width="16.5703125" style="261" customWidth="1"/>
    <col min="7" max="7" width="16.7109375" style="260" customWidth="1"/>
    <col min="8" max="8" width="15" style="260" customWidth="1"/>
    <col min="9" max="9" width="17.28515625" style="260" customWidth="1"/>
    <col min="10" max="10" width="13.28515625" style="260" customWidth="1"/>
    <col min="11" max="11" width="15.28515625" style="222" customWidth="1"/>
    <col min="12" max="12" width="15.7109375" style="222" customWidth="1"/>
    <col min="13" max="13" width="14.140625" style="260" customWidth="1"/>
    <col min="14" max="14" width="19.140625" style="222" customWidth="1"/>
    <col min="15" max="15" width="14.7109375" style="222" customWidth="1"/>
    <col min="16" max="16" width="13.28515625" style="222" customWidth="1"/>
    <col min="17" max="17" width="13" style="222" customWidth="1"/>
    <col min="18" max="18" width="15.28515625" style="222" customWidth="1"/>
    <col min="19" max="19" width="32.85546875" style="222" customWidth="1"/>
    <col min="20" max="20" width="3.7109375" style="222" customWidth="1"/>
    <col min="21" max="21" width="95" style="223" customWidth="1"/>
    <col min="22" max="22" width="3.7109375" style="223" customWidth="1"/>
    <col min="23" max="63" width="9.140625" style="223"/>
    <col min="64" max="16384" width="9.140625" style="32"/>
  </cols>
  <sheetData>
    <row r="1" spans="1:63" ht="26.25" x14ac:dyDescent="0.25">
      <c r="A1" s="450" t="s">
        <v>193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/>
      <c r="M1" s="222"/>
    </row>
    <row r="2" spans="1:63" ht="26.25" x14ac:dyDescent="0.25">
      <c r="A2" s="451" t="s">
        <v>145</v>
      </c>
      <c r="B2" s="451"/>
      <c r="C2" s="451"/>
      <c r="D2" s="451"/>
      <c r="E2" s="451"/>
      <c r="F2" s="452" t="s">
        <v>146</v>
      </c>
      <c r="G2" s="452"/>
      <c r="H2" s="452"/>
      <c r="I2" s="452"/>
      <c r="J2" s="452"/>
      <c r="K2" s="452"/>
      <c r="L2" s="224"/>
      <c r="M2" s="222"/>
    </row>
    <row r="3" spans="1:63" x14ac:dyDescent="0.25">
      <c r="A3" s="451"/>
      <c r="B3" s="451"/>
      <c r="C3" s="451"/>
      <c r="D3" s="451"/>
      <c r="E3" s="451"/>
      <c r="F3" s="452"/>
      <c r="G3" s="452"/>
      <c r="H3" s="452"/>
      <c r="I3" s="452"/>
      <c r="J3" s="452"/>
      <c r="K3" s="452"/>
      <c r="L3" s="225"/>
      <c r="M3" s="222"/>
      <c r="P3" s="223"/>
      <c r="Q3" s="223"/>
      <c r="R3" s="223"/>
      <c r="S3" s="223"/>
      <c r="T3" s="223"/>
      <c r="BG3" s="32"/>
      <c r="BH3" s="32"/>
      <c r="BI3" s="32"/>
      <c r="BJ3" s="32"/>
      <c r="BK3" s="32"/>
    </row>
    <row r="4" spans="1:63" s="226" customFormat="1" x14ac:dyDescent="0.25">
      <c r="A4" s="453" t="s">
        <v>135</v>
      </c>
      <c r="B4" s="455" t="s">
        <v>136</v>
      </c>
      <c r="C4" s="455" t="s">
        <v>104</v>
      </c>
      <c r="D4" s="455" t="s">
        <v>152</v>
      </c>
      <c r="E4" s="455" t="s">
        <v>137</v>
      </c>
      <c r="F4" s="458" t="s">
        <v>147</v>
      </c>
      <c r="G4" s="458"/>
      <c r="H4" s="458" t="s">
        <v>141</v>
      </c>
      <c r="I4" s="458"/>
      <c r="J4" s="458" t="s">
        <v>138</v>
      </c>
      <c r="K4" s="458"/>
      <c r="L4" s="223"/>
      <c r="M4" s="222"/>
      <c r="N4" s="222"/>
      <c r="O4" s="222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</row>
    <row r="5" spans="1:63" s="226" customFormat="1" x14ac:dyDescent="0.25">
      <c r="A5" s="453"/>
      <c r="B5" s="456"/>
      <c r="C5" s="456"/>
      <c r="D5" s="456"/>
      <c r="E5" s="456"/>
      <c r="F5" s="459" t="s">
        <v>148</v>
      </c>
      <c r="G5" s="459" t="s">
        <v>149</v>
      </c>
      <c r="H5" s="461" t="s">
        <v>142</v>
      </c>
      <c r="I5" s="461" t="s">
        <v>143</v>
      </c>
      <c r="J5" s="461" t="s">
        <v>139</v>
      </c>
      <c r="K5" s="461" t="s">
        <v>140</v>
      </c>
      <c r="L5" s="223"/>
      <c r="M5" s="222"/>
      <c r="N5" s="222"/>
      <c r="O5" s="222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3"/>
      <c r="AS5" s="223"/>
      <c r="AT5" s="223"/>
      <c r="AU5" s="223"/>
      <c r="AV5" s="223"/>
      <c r="AW5" s="223"/>
      <c r="AX5" s="223"/>
      <c r="AY5" s="223"/>
      <c r="AZ5" s="223"/>
      <c r="BA5" s="223"/>
      <c r="BB5" s="223"/>
      <c r="BC5" s="223"/>
      <c r="BD5" s="223"/>
      <c r="BE5" s="223"/>
    </row>
    <row r="6" spans="1:63" s="226" customFormat="1" x14ac:dyDescent="0.25">
      <c r="A6" s="454"/>
      <c r="B6" s="457"/>
      <c r="C6" s="456"/>
      <c r="D6" s="456"/>
      <c r="E6" s="456"/>
      <c r="F6" s="460"/>
      <c r="G6" s="460"/>
      <c r="H6" s="461"/>
      <c r="I6" s="461"/>
      <c r="J6" s="461"/>
      <c r="K6" s="461"/>
      <c r="L6" s="223"/>
      <c r="M6" s="222"/>
      <c r="N6" s="222"/>
      <c r="O6" s="222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3"/>
      <c r="AT6" s="223"/>
      <c r="AU6" s="223"/>
      <c r="AV6" s="223"/>
      <c r="AW6" s="223"/>
      <c r="AX6" s="223"/>
      <c r="AY6" s="223"/>
      <c r="AZ6" s="223"/>
      <c r="BA6" s="223"/>
      <c r="BB6" s="223"/>
      <c r="BC6" s="223"/>
      <c r="BD6" s="223"/>
      <c r="BE6" s="223"/>
    </row>
    <row r="7" spans="1:63" s="226" customFormat="1" x14ac:dyDescent="0.25">
      <c r="A7" s="227" t="s">
        <v>121</v>
      </c>
      <c r="B7" s="282">
        <v>1</v>
      </c>
      <c r="C7" s="283">
        <v>3600</v>
      </c>
      <c r="D7" s="283"/>
      <c r="E7" s="54" t="str">
        <f>IF(D7&gt;0,C7*D7,"")</f>
        <v/>
      </c>
      <c r="F7" s="55">
        <f>E37+K42</f>
        <v>5475</v>
      </c>
      <c r="G7" s="55">
        <f>F7-E$43</f>
        <v>5475</v>
      </c>
      <c r="H7" s="56" t="str">
        <f>IF(D7="","",E7-F7)</f>
        <v/>
      </c>
      <c r="I7" s="56" t="str">
        <f>IF(H7="","",H7+E$43)</f>
        <v/>
      </c>
      <c r="J7" s="57">
        <f>F7/C7</f>
        <v>1.5208333333333333</v>
      </c>
      <c r="K7" s="57">
        <f>G7/C7</f>
        <v>1.5208333333333333</v>
      </c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</row>
    <row r="8" spans="1:63" s="226" customFormat="1" x14ac:dyDescent="0.25">
      <c r="A8" s="227" t="s">
        <v>17</v>
      </c>
      <c r="B8" s="284">
        <v>0.32500000000000001</v>
      </c>
      <c r="C8" s="283">
        <f>C$7*B8</f>
        <v>1170</v>
      </c>
      <c r="D8" s="285">
        <v>9</v>
      </c>
      <c r="E8" s="58">
        <f t="shared" ref="E8:E10" si="0">IF(D8&gt;0,C8*D8,"")</f>
        <v>10530</v>
      </c>
      <c r="F8" s="55">
        <f>F7+K20</f>
        <v>7334</v>
      </c>
      <c r="G8" s="55">
        <f>F8-E$43</f>
        <v>7334</v>
      </c>
      <c r="H8" s="56">
        <f>IF(D8="","",E8-F8)</f>
        <v>3196</v>
      </c>
      <c r="I8" s="56">
        <f>IF(H8="","",H8+E$43)</f>
        <v>3196</v>
      </c>
      <c r="J8" s="57">
        <f>F8/C8</f>
        <v>6.2683760683760683</v>
      </c>
      <c r="K8" s="57">
        <f>G8/C8</f>
        <v>6.2683760683760683</v>
      </c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</row>
    <row r="9" spans="1:63" s="226" customFormat="1" x14ac:dyDescent="0.25">
      <c r="A9" s="227" t="s">
        <v>124</v>
      </c>
      <c r="B9" s="286">
        <v>0.91</v>
      </c>
      <c r="C9" s="283">
        <f>C$7*B9</f>
        <v>3276</v>
      </c>
      <c r="D9" s="287">
        <v>3.2</v>
      </c>
      <c r="E9" s="58">
        <f t="shared" si="0"/>
        <v>10483.200000000001</v>
      </c>
      <c r="F9" s="60">
        <f>F7+K27-K42</f>
        <v>9178.4079999999994</v>
      </c>
      <c r="G9" s="55">
        <f>F9-E$43</f>
        <v>9178.4079999999994</v>
      </c>
      <c r="H9" s="56">
        <f>IF(D9="","",E9-F9)</f>
        <v>1304.7920000000013</v>
      </c>
      <c r="I9" s="56">
        <f>IF(H9="","",H9+E$43)</f>
        <v>1304.7920000000013</v>
      </c>
      <c r="J9" s="57">
        <f>F9/C9</f>
        <v>2.8017118437118436</v>
      </c>
      <c r="K9" s="57">
        <f>G9/C9</f>
        <v>2.8017118437118436</v>
      </c>
      <c r="L9" s="222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223"/>
      <c r="AS9" s="223"/>
      <c r="AT9" s="223"/>
      <c r="AU9" s="223"/>
      <c r="AV9" s="223"/>
      <c r="AW9" s="223"/>
      <c r="AX9" s="223"/>
      <c r="AY9" s="223"/>
      <c r="AZ9" s="223"/>
      <c r="BA9" s="223"/>
      <c r="BB9" s="223"/>
      <c r="BC9" s="223"/>
      <c r="BD9" s="223"/>
      <c r="BE9" s="223"/>
    </row>
    <row r="10" spans="1:63" s="226" customFormat="1" x14ac:dyDescent="0.25">
      <c r="A10" s="227" t="s">
        <v>82</v>
      </c>
      <c r="B10" s="286">
        <v>0.875</v>
      </c>
      <c r="C10" s="283">
        <f>C$7*B10</f>
        <v>3150</v>
      </c>
      <c r="D10" s="287">
        <v>3</v>
      </c>
      <c r="E10" s="58">
        <f t="shared" si="0"/>
        <v>9450</v>
      </c>
      <c r="F10" s="60">
        <f>F7+K37-K42</f>
        <v>7648.0749999999998</v>
      </c>
      <c r="G10" s="55">
        <f>F10-E$43</f>
        <v>7648.0749999999998</v>
      </c>
      <c r="H10" s="56">
        <f>IF(D10="","",E10-F10)</f>
        <v>1801.9250000000002</v>
      </c>
      <c r="I10" s="56">
        <f>IF(H10="","",H10+E$43)</f>
        <v>1801.9250000000002</v>
      </c>
      <c r="J10" s="57">
        <f>F10/C10</f>
        <v>2.4279603174603173</v>
      </c>
      <c r="K10" s="57">
        <f>G10/C10</f>
        <v>2.4279603174603173</v>
      </c>
      <c r="L10" s="222"/>
      <c r="M10" s="222"/>
      <c r="N10" s="222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  <c r="AL10" s="223"/>
      <c r="AM10" s="223"/>
      <c r="AN10" s="223"/>
      <c r="AO10" s="223"/>
      <c r="AP10" s="223"/>
      <c r="AQ10" s="223"/>
      <c r="AR10" s="223"/>
      <c r="AS10" s="223"/>
      <c r="AT10" s="223"/>
      <c r="AU10" s="223"/>
      <c r="AV10" s="223"/>
      <c r="AW10" s="223"/>
      <c r="AX10" s="223"/>
      <c r="AY10" s="223"/>
      <c r="AZ10" s="223"/>
      <c r="BA10" s="223"/>
      <c r="BB10" s="223"/>
      <c r="BC10" s="223"/>
      <c r="BD10" s="223"/>
      <c r="BE10" s="223"/>
    </row>
    <row r="11" spans="1:63" s="226" customFormat="1" ht="21.75" thickBot="1" x14ac:dyDescent="0.3">
      <c r="A11" s="462"/>
      <c r="B11" s="462"/>
      <c r="C11" s="462"/>
      <c r="D11" s="462"/>
      <c r="E11" s="462"/>
      <c r="F11" s="462"/>
      <c r="G11" s="462"/>
      <c r="H11" s="462"/>
      <c r="I11" s="462"/>
      <c r="J11" s="462"/>
      <c r="K11" s="462"/>
      <c r="L11" s="89"/>
      <c r="M11" s="222"/>
      <c r="N11" s="222"/>
      <c r="O11" s="222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</row>
    <row r="12" spans="1:63" s="226" customFormat="1" x14ac:dyDescent="0.25">
      <c r="A12" s="463" t="s">
        <v>144</v>
      </c>
      <c r="B12" s="463"/>
      <c r="C12" s="463"/>
      <c r="D12" s="463"/>
      <c r="E12" s="464"/>
      <c r="F12" s="469" t="s">
        <v>192</v>
      </c>
      <c r="G12" s="472" t="s">
        <v>150</v>
      </c>
      <c r="H12" s="473"/>
      <c r="I12" s="473"/>
      <c r="J12" s="473"/>
      <c r="K12" s="473"/>
      <c r="L12" s="89"/>
      <c r="M12" s="222"/>
      <c r="N12" s="222"/>
      <c r="O12" s="222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  <c r="AY12" s="223"/>
      <c r="AZ12" s="223"/>
      <c r="BA12" s="223"/>
      <c r="BB12" s="223"/>
      <c r="BC12" s="223"/>
      <c r="BD12" s="223"/>
      <c r="BE12" s="223"/>
      <c r="BF12" s="223"/>
    </row>
    <row r="13" spans="1:63" s="226" customFormat="1" x14ac:dyDescent="0.25">
      <c r="A13" s="465"/>
      <c r="B13" s="465"/>
      <c r="C13" s="465"/>
      <c r="D13" s="465"/>
      <c r="E13" s="466"/>
      <c r="F13" s="470"/>
      <c r="G13" s="472"/>
      <c r="H13" s="473"/>
      <c r="I13" s="473"/>
      <c r="J13" s="473"/>
      <c r="K13" s="473"/>
      <c r="L13" s="228"/>
      <c r="M13" s="228"/>
      <c r="N13" s="229"/>
      <c r="O13" s="229"/>
      <c r="P13" s="229"/>
      <c r="Q13" s="229"/>
      <c r="R13" s="222"/>
      <c r="S13" s="222"/>
      <c r="T13" s="222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3"/>
      <c r="AN13" s="223"/>
      <c r="AO13" s="223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3"/>
      <c r="BE13" s="223"/>
      <c r="BF13" s="223"/>
      <c r="BG13" s="223"/>
      <c r="BH13" s="223"/>
      <c r="BI13" s="223"/>
      <c r="BJ13" s="223"/>
      <c r="BK13" s="223"/>
    </row>
    <row r="14" spans="1:63" s="226" customFormat="1" x14ac:dyDescent="0.25">
      <c r="A14" s="467"/>
      <c r="B14" s="467"/>
      <c r="C14" s="467"/>
      <c r="D14" s="467"/>
      <c r="E14" s="468"/>
      <c r="F14" s="470"/>
      <c r="G14" s="474"/>
      <c r="H14" s="475"/>
      <c r="I14" s="475"/>
      <c r="J14" s="475"/>
      <c r="K14" s="475"/>
      <c r="L14" s="229"/>
      <c r="M14" s="229"/>
      <c r="N14" s="229"/>
      <c r="O14" s="229"/>
      <c r="P14" s="222"/>
      <c r="Q14" s="222"/>
      <c r="R14" s="222"/>
      <c r="S14" s="222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23"/>
      <c r="AZ14" s="223"/>
      <c r="BA14" s="223"/>
      <c r="BB14" s="223"/>
      <c r="BC14" s="223"/>
      <c r="BD14" s="223"/>
      <c r="BE14" s="223"/>
      <c r="BF14" s="223"/>
      <c r="BG14" s="223"/>
      <c r="BH14" s="223"/>
      <c r="BI14" s="223"/>
    </row>
    <row r="15" spans="1:63" s="226" customFormat="1" ht="21.75" thickBot="1" x14ac:dyDescent="0.3">
      <c r="A15" s="476" t="s">
        <v>108</v>
      </c>
      <c r="B15" s="477"/>
      <c r="C15" s="477"/>
      <c r="D15" s="478"/>
      <c r="E15" s="288">
        <v>1600</v>
      </c>
      <c r="F15" s="471"/>
      <c r="G15" s="479" t="s">
        <v>122</v>
      </c>
      <c r="H15" s="480"/>
      <c r="I15" s="480"/>
      <c r="J15" s="230" t="s">
        <v>123</v>
      </c>
      <c r="K15" s="221" t="s">
        <v>0</v>
      </c>
      <c r="L15" s="229"/>
      <c r="M15" s="229"/>
      <c r="N15" s="229"/>
      <c r="O15" s="231"/>
      <c r="P15" s="222"/>
      <c r="Q15" s="222"/>
      <c r="R15" s="222"/>
      <c r="S15" s="222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  <c r="AO15" s="223"/>
      <c r="AP15" s="223"/>
      <c r="AQ15" s="223"/>
      <c r="AR15" s="223"/>
      <c r="AS15" s="223"/>
      <c r="AT15" s="223"/>
      <c r="AU15" s="223"/>
      <c r="AV15" s="223"/>
      <c r="AW15" s="223"/>
      <c r="AX15" s="223"/>
      <c r="AY15" s="223"/>
      <c r="AZ15" s="223"/>
      <c r="BA15" s="223"/>
      <c r="BB15" s="223"/>
      <c r="BC15" s="223"/>
      <c r="BD15" s="223"/>
      <c r="BE15" s="223"/>
      <c r="BF15" s="223"/>
      <c r="BG15" s="223"/>
      <c r="BH15" s="223"/>
      <c r="BI15" s="223"/>
    </row>
    <row r="16" spans="1:63" s="226" customFormat="1" x14ac:dyDescent="0.25">
      <c r="A16" s="483" t="s">
        <v>99</v>
      </c>
      <c r="B16" s="484"/>
      <c r="C16" s="489" t="s">
        <v>110</v>
      </c>
      <c r="D16" s="489"/>
      <c r="E16" s="232" t="s">
        <v>109</v>
      </c>
      <c r="F16" s="490" t="s">
        <v>188</v>
      </c>
      <c r="G16" s="480" t="s">
        <v>215</v>
      </c>
      <c r="H16" s="480"/>
      <c r="I16" s="480"/>
      <c r="J16" s="221">
        <f>VLOOKUP(G16,'FİYAT LİSTESİ'!B:D,3,0)</f>
        <v>1375</v>
      </c>
      <c r="K16" s="114">
        <f>ROUNDUP(C8*J16/1000,0)</f>
        <v>1609</v>
      </c>
      <c r="L16" s="229"/>
      <c r="M16" s="229"/>
      <c r="N16" s="229"/>
      <c r="O16" s="223"/>
      <c r="P16" s="223"/>
      <c r="Q16" s="223"/>
      <c r="R16" s="223"/>
      <c r="S16" s="223"/>
      <c r="T16" s="222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223"/>
      <c r="AS16" s="223"/>
      <c r="AT16" s="223"/>
      <c r="AU16" s="223"/>
      <c r="AV16" s="223"/>
      <c r="AW16" s="223"/>
      <c r="AX16" s="223"/>
      <c r="AY16" s="223"/>
      <c r="AZ16" s="223"/>
      <c r="BA16" s="223"/>
      <c r="BB16" s="223"/>
      <c r="BC16" s="223"/>
      <c r="BD16" s="223"/>
      <c r="BE16" s="223"/>
      <c r="BF16" s="223"/>
      <c r="BG16" s="223"/>
      <c r="BH16" s="223"/>
      <c r="BI16" s="223"/>
      <c r="BJ16" s="223"/>
    </row>
    <row r="17" spans="1:63" s="226" customFormat="1" x14ac:dyDescent="0.25">
      <c r="A17" s="485"/>
      <c r="B17" s="486"/>
      <c r="C17" s="492" t="s">
        <v>100</v>
      </c>
      <c r="D17" s="492"/>
      <c r="E17" s="59">
        <f>VLOOKUP(C17,'FİYAT LİSTESİ'!B:D,3,0)</f>
        <v>375</v>
      </c>
      <c r="F17" s="491"/>
      <c r="G17" s="493" t="s">
        <v>161</v>
      </c>
      <c r="H17" s="493"/>
      <c r="I17" s="493"/>
      <c r="J17" s="221">
        <f>VLOOKUP(G17,'FİYAT LİSTESİ'!B:D,3,0)</f>
        <v>150</v>
      </c>
      <c r="K17" s="115">
        <f>J17</f>
        <v>150</v>
      </c>
      <c r="L17" s="229"/>
      <c r="M17" s="229"/>
      <c r="N17" s="229"/>
      <c r="O17" s="223"/>
      <c r="P17" s="223"/>
      <c r="Q17" s="223"/>
      <c r="R17" s="223"/>
      <c r="S17" s="223"/>
      <c r="T17" s="222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223"/>
      <c r="AO17" s="223"/>
      <c r="AP17" s="223"/>
      <c r="AQ17" s="223"/>
      <c r="AR17" s="223"/>
      <c r="AS17" s="223"/>
      <c r="AT17" s="223"/>
      <c r="AU17" s="223"/>
      <c r="AV17" s="223"/>
      <c r="AW17" s="223"/>
      <c r="AX17" s="223"/>
      <c r="AY17" s="223"/>
      <c r="AZ17" s="223"/>
      <c r="BA17" s="223"/>
      <c r="BB17" s="223"/>
      <c r="BC17" s="223"/>
      <c r="BD17" s="223"/>
      <c r="BE17" s="223"/>
      <c r="BF17" s="223"/>
      <c r="BG17" s="223"/>
      <c r="BH17" s="223"/>
      <c r="BI17" s="223"/>
      <c r="BJ17" s="223"/>
    </row>
    <row r="18" spans="1:63" s="226" customFormat="1" x14ac:dyDescent="0.25">
      <c r="A18" s="485"/>
      <c r="B18" s="486"/>
      <c r="C18" s="494" t="s">
        <v>101</v>
      </c>
      <c r="D18" s="494"/>
      <c r="E18" s="59">
        <f>VLOOKUP(C18,'FİYAT LİSTESİ'!B:D,3,0)</f>
        <v>305</v>
      </c>
      <c r="F18" s="491"/>
      <c r="G18" s="480" t="s">
        <v>162</v>
      </c>
      <c r="H18" s="480"/>
      <c r="I18" s="480"/>
      <c r="J18" s="221">
        <f>VLOOKUP(G18,'FİYAT LİSTESİ'!B:D,3,0)</f>
        <v>50</v>
      </c>
      <c r="K18" s="417">
        <f>J18*J19</f>
        <v>100</v>
      </c>
      <c r="L18" s="229"/>
      <c r="M18" s="229"/>
      <c r="N18" s="229"/>
      <c r="O18" s="223"/>
      <c r="P18" s="223"/>
      <c r="Q18" s="223"/>
      <c r="R18" s="223"/>
      <c r="S18" s="223"/>
      <c r="T18" s="222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23"/>
      <c r="AN18" s="223"/>
      <c r="AO18" s="223"/>
      <c r="AP18" s="223"/>
      <c r="AQ18" s="223"/>
      <c r="AR18" s="223"/>
      <c r="AS18" s="223"/>
      <c r="AT18" s="223"/>
      <c r="AU18" s="223"/>
      <c r="AV18" s="223"/>
      <c r="AW18" s="223"/>
      <c r="AX18" s="223"/>
      <c r="AY18" s="223"/>
      <c r="AZ18" s="223"/>
      <c r="BA18" s="223"/>
      <c r="BB18" s="223"/>
      <c r="BC18" s="223"/>
      <c r="BD18" s="223"/>
      <c r="BE18" s="223"/>
      <c r="BF18" s="223"/>
      <c r="BG18" s="223"/>
      <c r="BH18" s="223"/>
      <c r="BI18" s="223"/>
      <c r="BJ18" s="223"/>
    </row>
    <row r="19" spans="1:63" s="226" customFormat="1" x14ac:dyDescent="0.25">
      <c r="A19" s="485"/>
      <c r="B19" s="486"/>
      <c r="C19" s="492" t="s">
        <v>102</v>
      </c>
      <c r="D19" s="492"/>
      <c r="E19" s="59">
        <f>VLOOKUP(C19,'FİYAT LİSTESİ'!B:D,3,0)</f>
        <v>165</v>
      </c>
      <c r="F19" s="491"/>
      <c r="G19" s="480" t="s">
        <v>118</v>
      </c>
      <c r="H19" s="480"/>
      <c r="I19" s="480"/>
      <c r="J19" s="221">
        <f>ROUNDUP(C8/600,0)</f>
        <v>2</v>
      </c>
      <c r="K19" s="418"/>
      <c r="L19" s="141"/>
      <c r="M19" s="233"/>
      <c r="N19" s="233"/>
      <c r="O19" s="223"/>
      <c r="P19" s="223"/>
      <c r="Q19" s="223"/>
      <c r="R19" s="223"/>
      <c r="S19" s="223"/>
      <c r="T19" s="222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  <c r="AL19" s="223"/>
      <c r="AM19" s="223"/>
      <c r="AN19" s="223"/>
      <c r="AO19" s="223"/>
      <c r="AP19" s="223"/>
      <c r="AQ19" s="223"/>
      <c r="AR19" s="223"/>
      <c r="AS19" s="223"/>
      <c r="AT19" s="223"/>
      <c r="AU19" s="223"/>
      <c r="AV19" s="223"/>
      <c r="AW19" s="223"/>
      <c r="AX19" s="223"/>
      <c r="AY19" s="223"/>
      <c r="AZ19" s="223"/>
      <c r="BA19" s="223"/>
      <c r="BB19" s="223"/>
      <c r="BC19" s="223"/>
      <c r="BD19" s="223"/>
      <c r="BE19" s="223"/>
      <c r="BF19" s="223"/>
      <c r="BG19" s="223"/>
      <c r="BH19" s="223"/>
      <c r="BI19" s="223"/>
      <c r="BJ19" s="223"/>
    </row>
    <row r="20" spans="1:63" s="226" customFormat="1" x14ac:dyDescent="0.25">
      <c r="A20" s="487"/>
      <c r="B20" s="488"/>
      <c r="C20" s="495" t="s">
        <v>18</v>
      </c>
      <c r="D20" s="495"/>
      <c r="E20" s="61">
        <f>SUM(E17:E19)</f>
        <v>845</v>
      </c>
      <c r="F20" s="491"/>
      <c r="G20" s="480" t="s">
        <v>18</v>
      </c>
      <c r="H20" s="480"/>
      <c r="I20" s="480"/>
      <c r="J20" s="480"/>
      <c r="K20" s="114">
        <f>SUM(K16:K18)</f>
        <v>1859</v>
      </c>
      <c r="L20" s="141"/>
      <c r="M20" s="229"/>
      <c r="N20" s="229"/>
      <c r="O20" s="229"/>
      <c r="P20" s="229"/>
      <c r="Q20" s="234"/>
      <c r="R20" s="223"/>
      <c r="S20" s="222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  <c r="AY20" s="223"/>
      <c r="AZ20" s="223"/>
      <c r="BA20" s="223"/>
      <c r="BB20" s="223"/>
      <c r="BC20" s="223"/>
      <c r="BD20" s="223"/>
      <c r="BE20" s="223"/>
      <c r="BF20" s="223"/>
      <c r="BG20" s="223"/>
      <c r="BH20" s="223"/>
      <c r="BI20" s="223"/>
      <c r="BJ20" s="223"/>
    </row>
    <row r="21" spans="1:63" s="226" customFormat="1" ht="23.25" x14ac:dyDescent="0.25">
      <c r="A21" s="481"/>
      <c r="B21" s="482"/>
      <c r="C21" s="482"/>
      <c r="D21" s="482"/>
      <c r="E21" s="482"/>
      <c r="F21" s="482"/>
      <c r="G21" s="482"/>
      <c r="H21" s="482"/>
      <c r="I21" s="482"/>
      <c r="J21" s="482"/>
      <c r="K21" s="482"/>
      <c r="L21" s="229"/>
      <c r="M21" s="229"/>
      <c r="N21" s="231"/>
      <c r="O21" s="229"/>
      <c r="P21" s="229"/>
      <c r="Q21" s="234"/>
      <c r="R21" s="222"/>
      <c r="S21" s="222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23"/>
      <c r="AN21" s="223"/>
      <c r="AO21" s="223"/>
      <c r="AP21" s="223"/>
      <c r="AQ21" s="223"/>
      <c r="AR21" s="223"/>
      <c r="AS21" s="223"/>
      <c r="AT21" s="223"/>
      <c r="AU21" s="223"/>
      <c r="AV21" s="223"/>
      <c r="AW21" s="223"/>
      <c r="AX21" s="223"/>
      <c r="AY21" s="223"/>
      <c r="AZ21" s="223"/>
      <c r="BA21" s="223"/>
      <c r="BB21" s="223"/>
      <c r="BC21" s="223"/>
      <c r="BD21" s="223"/>
      <c r="BE21" s="223"/>
      <c r="BF21" s="223"/>
      <c r="BG21" s="223"/>
      <c r="BH21" s="223"/>
      <c r="BI21" s="223"/>
      <c r="BJ21" s="223"/>
    </row>
    <row r="22" spans="1:63" s="226" customFormat="1" ht="25.5" x14ac:dyDescent="0.25">
      <c r="A22" s="496" t="s">
        <v>103</v>
      </c>
      <c r="B22" s="235" t="s">
        <v>107</v>
      </c>
      <c r="C22" s="236" t="s">
        <v>104</v>
      </c>
      <c r="D22" s="237" t="s">
        <v>105</v>
      </c>
      <c r="E22" s="238" t="s">
        <v>0</v>
      </c>
      <c r="F22" s="498" t="s">
        <v>189</v>
      </c>
      <c r="G22" s="499" t="s">
        <v>125</v>
      </c>
      <c r="H22" s="499"/>
      <c r="I22" s="499"/>
      <c r="J22" s="66">
        <f>VLOOKUP(G22,'FİYAT LİSTESİ'!G:I,3,0)</f>
        <v>850</v>
      </c>
      <c r="K22" s="67">
        <f>J22</f>
        <v>850</v>
      </c>
      <c r="L22" s="239"/>
      <c r="M22" s="231"/>
      <c r="N22" s="229"/>
      <c r="O22" s="231"/>
      <c r="P22" s="234"/>
      <c r="Q22" s="222"/>
      <c r="R22" s="222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  <c r="AR22" s="223"/>
      <c r="AS22" s="223"/>
      <c r="AT22" s="223"/>
      <c r="AU22" s="223"/>
      <c r="AV22" s="223"/>
      <c r="AW22" s="223"/>
      <c r="AX22" s="223"/>
      <c r="AY22" s="223"/>
      <c r="AZ22" s="223"/>
      <c r="BA22" s="223"/>
      <c r="BB22" s="223"/>
      <c r="BC22" s="223"/>
      <c r="BD22" s="223"/>
      <c r="BE22" s="223"/>
      <c r="BF22" s="223"/>
      <c r="BG22" s="223"/>
      <c r="BH22" s="223"/>
      <c r="BI22" s="223"/>
    </row>
    <row r="23" spans="1:63" s="226" customFormat="1" x14ac:dyDescent="0.25">
      <c r="A23" s="497"/>
      <c r="B23" s="240" t="s">
        <v>83</v>
      </c>
      <c r="C23" s="289">
        <v>8</v>
      </c>
      <c r="D23" s="62">
        <f>VLOOKUP(B23,'FİYAT LİSTESİ'!B:D,3,0)</f>
        <v>150</v>
      </c>
      <c r="E23" s="62">
        <f>C23*D23</f>
        <v>1200</v>
      </c>
      <c r="F23" s="498"/>
      <c r="G23" s="500" t="s">
        <v>126</v>
      </c>
      <c r="H23" s="500"/>
      <c r="I23" s="500"/>
      <c r="J23" s="66">
        <f>VLOOKUP(G23,'FİYAT LİSTESİ'!G:I,3,0)</f>
        <v>700</v>
      </c>
      <c r="K23" s="67">
        <f>J23*C9/1000</f>
        <v>2293.1999999999998</v>
      </c>
      <c r="L23" s="229"/>
      <c r="M23" s="231"/>
      <c r="N23" s="239"/>
      <c r="O23" s="229"/>
      <c r="P23" s="229"/>
      <c r="Q23" s="231"/>
      <c r="R23" s="234"/>
      <c r="S23" s="222"/>
      <c r="T23" s="222"/>
      <c r="U23" s="222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O23" s="223"/>
      <c r="AP23" s="223"/>
      <c r="AQ23" s="223"/>
      <c r="AR23" s="223"/>
      <c r="AS23" s="223"/>
      <c r="AT23" s="223"/>
      <c r="AU23" s="223"/>
      <c r="AV23" s="223"/>
      <c r="AW23" s="223"/>
      <c r="AX23" s="223"/>
      <c r="AY23" s="223"/>
      <c r="AZ23" s="223"/>
      <c r="BA23" s="223"/>
      <c r="BB23" s="223"/>
      <c r="BC23" s="223"/>
      <c r="BD23" s="223"/>
      <c r="BE23" s="223"/>
      <c r="BF23" s="223"/>
      <c r="BG23" s="223"/>
      <c r="BH23" s="223"/>
      <c r="BI23" s="223"/>
      <c r="BJ23" s="223"/>
      <c r="BK23" s="223"/>
    </row>
    <row r="24" spans="1:63" s="226" customFormat="1" x14ac:dyDescent="0.25">
      <c r="A24" s="497"/>
      <c r="B24" s="241" t="s">
        <v>84</v>
      </c>
      <c r="C24" s="290">
        <v>10</v>
      </c>
      <c r="D24" s="62">
        <f>VLOOKUP(B24,'FİYAT LİSTESİ'!B:D,3,0)</f>
        <v>12</v>
      </c>
      <c r="E24" s="63">
        <f>C24*D24</f>
        <v>120</v>
      </c>
      <c r="F24" s="498"/>
      <c r="G24" s="499" t="s">
        <v>257</v>
      </c>
      <c r="H24" s="499"/>
      <c r="I24" s="499"/>
      <c r="J24" s="66">
        <f>VLOOKUP(G24,'FİYAT LİSTESİ'!G:I,3,0)</f>
        <v>2900</v>
      </c>
      <c r="K24" s="67">
        <f>(C9/1000)*(J24/50)</f>
        <v>190.00799999999998</v>
      </c>
      <c r="L24" s="223"/>
      <c r="M24" s="223"/>
      <c r="N24" s="223"/>
      <c r="O24" s="229"/>
      <c r="P24" s="229"/>
      <c r="Q24" s="231"/>
      <c r="R24" s="234"/>
      <c r="S24" s="222"/>
      <c r="T24" s="222"/>
      <c r="U24" s="222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  <c r="AL24" s="223"/>
      <c r="AM24" s="223"/>
      <c r="AN24" s="223"/>
      <c r="AO24" s="223"/>
      <c r="AP24" s="223"/>
      <c r="AQ24" s="223"/>
      <c r="AR24" s="223"/>
      <c r="AS24" s="223"/>
      <c r="AT24" s="223"/>
      <c r="AU24" s="223"/>
      <c r="AV24" s="223"/>
      <c r="AW24" s="223"/>
      <c r="AX24" s="223"/>
      <c r="AY24" s="223"/>
      <c r="AZ24" s="223"/>
      <c r="BA24" s="223"/>
      <c r="BB24" s="223"/>
      <c r="BC24" s="223"/>
      <c r="BD24" s="223"/>
      <c r="BE24" s="223"/>
      <c r="BF24" s="223"/>
      <c r="BG24" s="223"/>
      <c r="BH24" s="223"/>
      <c r="BI24" s="223"/>
      <c r="BJ24" s="223"/>
      <c r="BK24" s="223"/>
    </row>
    <row r="25" spans="1:63" s="226" customFormat="1" ht="28.15" customHeight="1" x14ac:dyDescent="0.25">
      <c r="A25" s="497"/>
      <c r="B25" s="243" t="s">
        <v>18</v>
      </c>
      <c r="C25" s="291">
        <f>SUM(C23:C24)</f>
        <v>18</v>
      </c>
      <c r="D25" s="64" t="s">
        <v>106</v>
      </c>
      <c r="E25" s="65">
        <f>SUM(E23+E24)</f>
        <v>1320</v>
      </c>
      <c r="F25" s="498"/>
      <c r="G25" s="501" t="s">
        <v>190</v>
      </c>
      <c r="H25" s="502"/>
      <c r="I25" s="503"/>
      <c r="J25" s="66">
        <f>VLOOKUP(G25,'FİYAT LİSTESİ'!G:I,3,0)</f>
        <v>200</v>
      </c>
      <c r="K25" s="117">
        <f>J25*C9/1000</f>
        <v>655.20000000000005</v>
      </c>
      <c r="L25" s="223"/>
      <c r="M25" s="223"/>
      <c r="N25" s="223"/>
      <c r="O25" s="229"/>
      <c r="P25" s="229"/>
      <c r="Q25" s="229"/>
      <c r="R25" s="222"/>
      <c r="S25" s="222"/>
      <c r="T25" s="222"/>
      <c r="U25" s="222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223"/>
      <c r="AH25" s="223"/>
      <c r="AI25" s="223"/>
      <c r="AJ25" s="223"/>
      <c r="AK25" s="223"/>
      <c r="AL25" s="223"/>
      <c r="AM25" s="223"/>
      <c r="AN25" s="223"/>
      <c r="AO25" s="223"/>
      <c r="AP25" s="223"/>
      <c r="AQ25" s="223"/>
      <c r="AR25" s="223"/>
      <c r="AS25" s="223"/>
      <c r="AT25" s="223"/>
      <c r="AU25" s="223"/>
      <c r="AV25" s="223"/>
      <c r="AW25" s="223"/>
      <c r="AX25" s="223"/>
      <c r="AY25" s="223"/>
      <c r="AZ25" s="223"/>
      <c r="BA25" s="223"/>
      <c r="BB25" s="223"/>
      <c r="BC25" s="223"/>
      <c r="BD25" s="223"/>
      <c r="BE25" s="223"/>
      <c r="BF25" s="223"/>
      <c r="BG25" s="223"/>
      <c r="BH25" s="223"/>
      <c r="BI25" s="223"/>
      <c r="BJ25" s="223"/>
      <c r="BK25" s="223"/>
    </row>
    <row r="26" spans="1:63" s="226" customFormat="1" ht="23.25" x14ac:dyDescent="0.25">
      <c r="A26" s="504"/>
      <c r="B26" s="504"/>
      <c r="C26" s="504"/>
      <c r="D26" s="504"/>
      <c r="E26" s="505"/>
      <c r="F26" s="498"/>
      <c r="G26" s="499" t="s">
        <v>127</v>
      </c>
      <c r="H26" s="499"/>
      <c r="I26" s="499"/>
      <c r="J26" s="147">
        <f>ROUNDUP(C7/1000,1)</f>
        <v>3.6</v>
      </c>
      <c r="K26" s="118"/>
      <c r="L26" s="223"/>
      <c r="M26" s="223"/>
      <c r="N26" s="223"/>
      <c r="O26" s="229"/>
      <c r="P26" s="229"/>
      <c r="Q26" s="229"/>
      <c r="R26" s="222"/>
      <c r="S26" s="222"/>
      <c r="T26" s="222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  <c r="AO26" s="223"/>
      <c r="AP26" s="223"/>
      <c r="AQ26" s="223"/>
      <c r="AR26" s="223"/>
      <c r="AS26" s="223"/>
      <c r="AT26" s="223"/>
      <c r="AU26" s="223"/>
      <c r="AV26" s="223"/>
      <c r="AW26" s="223"/>
      <c r="AX26" s="223"/>
      <c r="AY26" s="223"/>
      <c r="AZ26" s="223"/>
      <c r="BA26" s="223"/>
      <c r="BB26" s="223"/>
      <c r="BC26" s="223"/>
      <c r="BD26" s="223"/>
      <c r="BE26" s="223"/>
      <c r="BF26" s="223"/>
      <c r="BG26" s="223"/>
      <c r="BH26" s="223"/>
      <c r="BI26" s="223"/>
      <c r="BJ26" s="223"/>
      <c r="BK26" s="223"/>
    </row>
    <row r="27" spans="1:63" s="226" customFormat="1" ht="30" x14ac:dyDescent="0.25">
      <c r="A27" s="506" t="s">
        <v>111</v>
      </c>
      <c r="B27" s="101" t="s">
        <v>110</v>
      </c>
      <c r="C27" s="245" t="s">
        <v>104</v>
      </c>
      <c r="D27" s="245" t="s">
        <v>105</v>
      </c>
      <c r="E27" s="245" t="s">
        <v>0</v>
      </c>
      <c r="F27" s="498"/>
      <c r="G27" s="501" t="s">
        <v>18</v>
      </c>
      <c r="H27" s="502"/>
      <c r="I27" s="503"/>
      <c r="J27" s="246"/>
      <c r="K27" s="67">
        <f>SUM(K22:K26)</f>
        <v>3988.4079999999994</v>
      </c>
      <c r="L27" s="223"/>
      <c r="M27" s="223"/>
      <c r="N27" s="223"/>
      <c r="O27" s="229"/>
      <c r="P27" s="229"/>
      <c r="Q27" s="229"/>
      <c r="R27" s="222"/>
      <c r="S27" s="222"/>
      <c r="T27" s="222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  <c r="AL27" s="223"/>
      <c r="AM27" s="223"/>
      <c r="AN27" s="223"/>
      <c r="AO27" s="223"/>
      <c r="AP27" s="223"/>
      <c r="AQ27" s="223"/>
      <c r="AR27" s="223"/>
      <c r="AS27" s="223"/>
      <c r="AT27" s="223"/>
      <c r="AU27" s="223"/>
      <c r="AV27" s="223"/>
      <c r="AW27" s="223"/>
      <c r="AX27" s="223"/>
      <c r="AY27" s="223"/>
      <c r="AZ27" s="223"/>
      <c r="BA27" s="223"/>
      <c r="BB27" s="223"/>
      <c r="BC27" s="223"/>
      <c r="BD27" s="223"/>
      <c r="BE27" s="223"/>
      <c r="BF27" s="223"/>
      <c r="BG27" s="223"/>
      <c r="BH27" s="223"/>
      <c r="BI27" s="223"/>
      <c r="BJ27" s="223"/>
      <c r="BK27" s="223"/>
    </row>
    <row r="28" spans="1:63" s="226" customFormat="1" ht="20.25" x14ac:dyDescent="0.25">
      <c r="A28" s="507"/>
      <c r="B28" s="217" t="s">
        <v>85</v>
      </c>
      <c r="C28" s="292">
        <v>10</v>
      </c>
      <c r="D28" s="103">
        <f>VLOOKUP(B28,'FİYAT LİSTESİ'!B:D,3,0)</f>
        <v>24</v>
      </c>
      <c r="E28" s="104">
        <f>D28*C28</f>
        <v>240</v>
      </c>
      <c r="F28" s="511"/>
      <c r="G28" s="512"/>
      <c r="H28" s="512"/>
      <c r="I28" s="512"/>
      <c r="J28" s="512"/>
      <c r="K28" s="513"/>
      <c r="L28" s="223"/>
      <c r="M28" s="223"/>
      <c r="N28" s="223"/>
      <c r="O28" s="229"/>
      <c r="P28" s="229"/>
      <c r="Q28" s="231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223"/>
      <c r="AS28" s="223"/>
      <c r="AT28" s="223"/>
      <c r="AU28" s="223"/>
      <c r="AV28" s="223"/>
      <c r="AW28" s="223"/>
      <c r="AX28" s="223"/>
      <c r="AY28" s="223"/>
      <c r="AZ28" s="223"/>
      <c r="BA28" s="223"/>
      <c r="BB28" s="223"/>
      <c r="BC28" s="223"/>
      <c r="BD28" s="223"/>
      <c r="BE28" s="223"/>
      <c r="BF28" s="223"/>
      <c r="BG28" s="223"/>
      <c r="BH28" s="223"/>
      <c r="BI28" s="223"/>
      <c r="BJ28" s="223"/>
      <c r="BK28" s="223"/>
    </row>
    <row r="29" spans="1:63" s="226" customFormat="1" ht="20.25" x14ac:dyDescent="0.25">
      <c r="A29" s="507"/>
      <c r="B29" s="247" t="s">
        <v>98</v>
      </c>
      <c r="C29" s="292">
        <v>10</v>
      </c>
      <c r="D29" s="103">
        <f>VLOOKUP(B29,'FİYAT LİSTESİ'!B:D,3,0)</f>
        <v>23</v>
      </c>
      <c r="E29" s="104">
        <f>D29*C29</f>
        <v>230</v>
      </c>
      <c r="F29" s="514" t="s">
        <v>128</v>
      </c>
      <c r="G29" s="515" t="s">
        <v>125</v>
      </c>
      <c r="H29" s="515"/>
      <c r="I29" s="515"/>
      <c r="J29" s="66">
        <f>VLOOKUP(G29,'FİYAT LİSTESİ'!G:I,3,0)</f>
        <v>850</v>
      </c>
      <c r="K29" s="142">
        <f>J29</f>
        <v>850</v>
      </c>
      <c r="L29" s="223"/>
      <c r="M29" s="223"/>
      <c r="N29" s="223"/>
      <c r="O29" s="229"/>
      <c r="P29" s="229"/>
      <c r="Q29" s="231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  <c r="AL29" s="223"/>
      <c r="AM29" s="223"/>
      <c r="AN29" s="223"/>
      <c r="AO29" s="223"/>
      <c r="AP29" s="223"/>
      <c r="AQ29" s="223"/>
      <c r="AR29" s="223"/>
      <c r="AS29" s="223"/>
      <c r="AT29" s="223"/>
      <c r="AU29" s="223"/>
      <c r="AV29" s="223"/>
      <c r="AW29" s="223"/>
      <c r="AX29" s="223"/>
      <c r="AY29" s="223"/>
      <c r="AZ29" s="223"/>
      <c r="BA29" s="223"/>
      <c r="BB29" s="223"/>
      <c r="BC29" s="223"/>
      <c r="BD29" s="223"/>
      <c r="BE29" s="223"/>
      <c r="BF29" s="223"/>
      <c r="BG29" s="223"/>
      <c r="BH29" s="223"/>
      <c r="BI29" s="223"/>
      <c r="BJ29" s="223"/>
      <c r="BK29" s="223"/>
    </row>
    <row r="30" spans="1:63" s="226" customFormat="1" ht="18" x14ac:dyDescent="0.25">
      <c r="A30" s="507"/>
      <c r="B30" s="247" t="s">
        <v>112</v>
      </c>
      <c r="C30" s="292" t="s">
        <v>113</v>
      </c>
      <c r="D30" s="103">
        <f>VLOOKUP(B30,'FİYAT LİSTESİ'!B:D,3,0)</f>
        <v>450</v>
      </c>
      <c r="E30" s="104">
        <f>IF(C30="YOK",0,D30*C30)</f>
        <v>0</v>
      </c>
      <c r="F30" s="514"/>
      <c r="G30" s="515" t="s">
        <v>191</v>
      </c>
      <c r="H30" s="515"/>
      <c r="I30" s="515"/>
      <c r="J30" s="66">
        <f>VLOOKUP(G30,'FİYAT LİSTESİ'!G:I,3,0)</f>
        <v>200</v>
      </c>
      <c r="K30" s="142">
        <f>J30*C10/1000</f>
        <v>630</v>
      </c>
      <c r="L30" s="223"/>
      <c r="M30" s="223"/>
      <c r="N30" s="223"/>
      <c r="O30" s="231"/>
      <c r="P30" s="231"/>
      <c r="Q30" s="231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  <c r="AL30" s="223"/>
      <c r="AM30" s="223"/>
      <c r="AN30" s="223"/>
      <c r="AO30" s="223"/>
      <c r="AP30" s="223"/>
      <c r="AQ30" s="223"/>
      <c r="AR30" s="223"/>
      <c r="AS30" s="223"/>
      <c r="AT30" s="223"/>
      <c r="AU30" s="223"/>
      <c r="AV30" s="223"/>
      <c r="AW30" s="223"/>
      <c r="AX30" s="223"/>
      <c r="AY30" s="223"/>
      <c r="AZ30" s="223"/>
      <c r="BA30" s="223"/>
      <c r="BB30" s="223"/>
      <c r="BC30" s="223"/>
      <c r="BD30" s="223"/>
      <c r="BE30" s="223"/>
      <c r="BF30" s="223"/>
      <c r="BG30" s="223"/>
      <c r="BH30" s="223"/>
      <c r="BI30" s="223"/>
      <c r="BJ30" s="223"/>
      <c r="BK30" s="223"/>
    </row>
    <row r="31" spans="1:63" s="226" customFormat="1" ht="18" x14ac:dyDescent="0.25">
      <c r="A31" s="507"/>
      <c r="B31" s="248"/>
      <c r="C31" s="295" t="s">
        <v>117</v>
      </c>
      <c r="D31" s="217" t="s">
        <v>116</v>
      </c>
      <c r="E31" s="104" t="s">
        <v>0</v>
      </c>
      <c r="F31" s="514"/>
      <c r="G31" s="515" t="s">
        <v>257</v>
      </c>
      <c r="H31" s="515"/>
      <c r="I31" s="515"/>
      <c r="J31" s="66">
        <f>VLOOKUP(G31,'FİYAT LİSTESİ'!G:I,3,0)</f>
        <v>2900</v>
      </c>
      <c r="K31" s="142">
        <f>(C10/1000)*(J31/50)</f>
        <v>182.7</v>
      </c>
      <c r="L31" s="223"/>
      <c r="M31" s="223"/>
      <c r="N31" s="223"/>
      <c r="O31" s="231"/>
      <c r="P31" s="231"/>
      <c r="Q31" s="231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  <c r="AL31" s="223"/>
      <c r="AM31" s="223"/>
      <c r="AN31" s="223"/>
      <c r="AO31" s="223"/>
      <c r="AP31" s="223"/>
      <c r="AQ31" s="223"/>
      <c r="AR31" s="223"/>
      <c r="AS31" s="223"/>
      <c r="AT31" s="223"/>
      <c r="AU31" s="223"/>
      <c r="AV31" s="223"/>
      <c r="AW31" s="223"/>
      <c r="AX31" s="223"/>
      <c r="AY31" s="223"/>
      <c r="AZ31" s="223"/>
      <c r="BA31" s="223"/>
      <c r="BB31" s="223"/>
      <c r="BC31" s="223"/>
      <c r="BD31" s="223"/>
      <c r="BE31" s="223"/>
      <c r="BF31" s="223"/>
      <c r="BG31" s="223"/>
      <c r="BH31" s="223"/>
      <c r="BI31" s="223"/>
      <c r="BJ31" s="223"/>
      <c r="BK31" s="223"/>
    </row>
    <row r="32" spans="1:63" s="226" customFormat="1" ht="18" x14ac:dyDescent="0.25">
      <c r="A32" s="507"/>
      <c r="B32" s="249" t="s">
        <v>86</v>
      </c>
      <c r="C32" s="296">
        <v>1</v>
      </c>
      <c r="D32" s="250">
        <f>VLOOKUP(B32,'FİYAT LİSTESİ'!B:D,3,0)</f>
        <v>55</v>
      </c>
      <c r="E32" s="104">
        <f>IF(C32="YOK",0,D32*C32)</f>
        <v>55</v>
      </c>
      <c r="F32" s="514"/>
      <c r="G32" s="515" t="s">
        <v>97</v>
      </c>
      <c r="H32" s="515"/>
      <c r="I32" s="515"/>
      <c r="J32" s="66">
        <f>VLOOKUP(G32,'FİYAT LİSTESİ'!G:I,3,0)</f>
        <v>50</v>
      </c>
      <c r="K32" s="142">
        <f>J32*C10/1000</f>
        <v>157.5</v>
      </c>
      <c r="L32" s="231"/>
      <c r="M32" s="231"/>
      <c r="N32" s="231"/>
      <c r="O32" s="231"/>
      <c r="P32" s="231"/>
      <c r="Q32" s="231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  <c r="AL32" s="223"/>
      <c r="AM32" s="223"/>
      <c r="AN32" s="223"/>
      <c r="AO32" s="223"/>
      <c r="AP32" s="223"/>
      <c r="AQ32" s="223"/>
      <c r="AR32" s="223"/>
      <c r="AS32" s="223"/>
      <c r="AT32" s="223"/>
      <c r="AU32" s="223"/>
      <c r="AV32" s="223"/>
      <c r="AW32" s="223"/>
      <c r="AX32" s="223"/>
      <c r="AY32" s="223"/>
      <c r="AZ32" s="223"/>
      <c r="BA32" s="223"/>
      <c r="BB32" s="223"/>
      <c r="BC32" s="223"/>
      <c r="BD32" s="223"/>
      <c r="BE32" s="223"/>
      <c r="BF32" s="223"/>
      <c r="BG32" s="223"/>
      <c r="BH32" s="223"/>
      <c r="BI32" s="223"/>
      <c r="BJ32" s="223"/>
      <c r="BK32" s="223"/>
    </row>
    <row r="33" spans="1:63" s="226" customFormat="1" ht="18" x14ac:dyDescent="0.25">
      <c r="A33" s="507"/>
      <c r="B33" s="217" t="s">
        <v>114</v>
      </c>
      <c r="C33" s="297" t="s">
        <v>113</v>
      </c>
      <c r="D33" s="250">
        <f>VLOOKUP(B33,'FİYAT LİSTESİ'!B:D,3,0)</f>
        <v>55</v>
      </c>
      <c r="E33" s="104">
        <f>IF(C33="YOK",0,C33*D33)</f>
        <v>0</v>
      </c>
      <c r="F33" s="514"/>
      <c r="G33" s="515" t="s">
        <v>129</v>
      </c>
      <c r="H33" s="515"/>
      <c r="I33" s="515"/>
      <c r="J33" s="66">
        <f>VLOOKUP(G33,'FİYAT LİSTESİ'!G:I,3,0)</f>
        <v>35</v>
      </c>
      <c r="K33" s="376">
        <f>J33*J34*C10/1000</f>
        <v>165.375</v>
      </c>
      <c r="L33" s="223"/>
      <c r="M33" s="223"/>
      <c r="N33" s="223"/>
      <c r="O33" s="231"/>
      <c r="P33" s="231"/>
      <c r="Q33" s="231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3"/>
      <c r="AK33" s="223"/>
      <c r="AL33" s="223"/>
      <c r="AM33" s="223"/>
      <c r="AN33" s="223"/>
      <c r="AO33" s="223"/>
      <c r="AP33" s="223"/>
      <c r="AQ33" s="223"/>
      <c r="AR33" s="223"/>
      <c r="AS33" s="223"/>
      <c r="AT33" s="223"/>
      <c r="AU33" s="223"/>
      <c r="AV33" s="223"/>
      <c r="AW33" s="223"/>
      <c r="AX33" s="223"/>
      <c r="AY33" s="223"/>
      <c r="AZ33" s="223"/>
      <c r="BA33" s="223"/>
      <c r="BB33" s="223"/>
      <c r="BC33" s="223"/>
      <c r="BD33" s="223"/>
      <c r="BE33" s="223"/>
      <c r="BF33" s="223"/>
      <c r="BG33" s="223"/>
      <c r="BH33" s="223"/>
      <c r="BI33" s="223"/>
      <c r="BJ33" s="223"/>
      <c r="BK33" s="223"/>
    </row>
    <row r="34" spans="1:63" s="226" customFormat="1" ht="18" x14ac:dyDescent="0.25">
      <c r="A34" s="507"/>
      <c r="B34" s="247" t="s">
        <v>115</v>
      </c>
      <c r="C34" s="297">
        <v>2</v>
      </c>
      <c r="D34" s="250">
        <f>VLOOKUP(B34,'FİYAT LİSTESİ'!B:D,3,0)</f>
        <v>200</v>
      </c>
      <c r="E34" s="104">
        <f>IF(C34="YOK",0,D34*C34)</f>
        <v>400</v>
      </c>
      <c r="F34" s="514"/>
      <c r="G34" s="515" t="s">
        <v>131</v>
      </c>
      <c r="H34" s="515"/>
      <c r="I34" s="515"/>
      <c r="J34" s="66">
        <f>VLOOKUP(G34,'FİYAT LİSTESİ'!G:I,3,0)</f>
        <v>1.5</v>
      </c>
      <c r="K34" s="376"/>
      <c r="L34" s="223"/>
      <c r="M34" s="223"/>
      <c r="N34" s="223"/>
      <c r="O34" s="231"/>
      <c r="P34" s="231"/>
      <c r="Q34" s="231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3"/>
      <c r="AO34" s="223"/>
      <c r="AP34" s="223"/>
      <c r="AQ34" s="223"/>
      <c r="AR34" s="223"/>
      <c r="AS34" s="223"/>
      <c r="AT34" s="223"/>
      <c r="AU34" s="223"/>
      <c r="AV34" s="223"/>
      <c r="AW34" s="223"/>
      <c r="AX34" s="223"/>
      <c r="AY34" s="223"/>
      <c r="AZ34" s="223"/>
      <c r="BA34" s="223"/>
      <c r="BB34" s="223"/>
      <c r="BC34" s="223"/>
      <c r="BD34" s="223"/>
      <c r="BE34" s="223"/>
      <c r="BF34" s="223"/>
      <c r="BG34" s="223"/>
      <c r="BH34" s="223"/>
      <c r="BI34" s="223"/>
      <c r="BJ34" s="223"/>
      <c r="BK34" s="223"/>
    </row>
    <row r="35" spans="1:63" s="226" customFormat="1" ht="15.75" customHeight="1" x14ac:dyDescent="0.25">
      <c r="A35" s="507"/>
      <c r="B35" s="217" t="s">
        <v>87</v>
      </c>
      <c r="C35" s="297">
        <f>IF(C34="YOK",0,C34)</f>
        <v>2</v>
      </c>
      <c r="D35" s="250">
        <f>VLOOKUP(B35,'FİYAT LİSTESİ'!B:D,3,0)</f>
        <v>250</v>
      </c>
      <c r="E35" s="104">
        <f>IF(C35="YOK",0,D35*C35)</f>
        <v>500</v>
      </c>
      <c r="F35" s="514"/>
      <c r="G35" s="516" t="s">
        <v>130</v>
      </c>
      <c r="H35" s="516"/>
      <c r="I35" s="516"/>
      <c r="J35" s="378">
        <f>VLOOKUP(G35,'FİYAT LİSTESİ'!G:I,3,0)</f>
        <v>150</v>
      </c>
      <c r="K35" s="376">
        <f>J35*C10/1000</f>
        <v>472.5</v>
      </c>
      <c r="L35" s="223"/>
      <c r="M35" s="223"/>
      <c r="N35" s="223"/>
      <c r="O35" s="231"/>
      <c r="P35" s="231"/>
      <c r="Q35" s="231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3"/>
      <c r="AO35" s="223"/>
      <c r="AP35" s="223"/>
      <c r="AQ35" s="223"/>
      <c r="AR35" s="223"/>
      <c r="AS35" s="223"/>
      <c r="AT35" s="223"/>
      <c r="AU35" s="223"/>
      <c r="AV35" s="223"/>
      <c r="AW35" s="223"/>
      <c r="AX35" s="223"/>
      <c r="AY35" s="223"/>
      <c r="AZ35" s="223"/>
      <c r="BA35" s="223"/>
      <c r="BB35" s="223"/>
      <c r="BC35" s="223"/>
      <c r="BD35" s="223"/>
      <c r="BE35" s="223"/>
      <c r="BF35" s="223"/>
      <c r="BG35" s="223"/>
      <c r="BH35" s="223"/>
      <c r="BI35" s="223"/>
      <c r="BJ35" s="223"/>
      <c r="BK35" s="223"/>
    </row>
    <row r="36" spans="1:63" s="226" customFormat="1" ht="15.75" customHeight="1" x14ac:dyDescent="0.25">
      <c r="A36" s="507"/>
      <c r="B36" s="508" t="s">
        <v>18</v>
      </c>
      <c r="C36" s="509"/>
      <c r="D36" s="510"/>
      <c r="E36" s="220">
        <f>SUM(E32:E35)+SUM(E28:E30)</f>
        <v>1425</v>
      </c>
      <c r="F36" s="514"/>
      <c r="G36" s="516"/>
      <c r="H36" s="516"/>
      <c r="I36" s="516"/>
      <c r="J36" s="379"/>
      <c r="K36" s="376"/>
      <c r="L36" s="223"/>
      <c r="M36" s="223"/>
      <c r="N36" s="223"/>
      <c r="O36" s="231"/>
      <c r="P36" s="231"/>
      <c r="Q36" s="231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223"/>
      <c r="AR36" s="223"/>
      <c r="AS36" s="223"/>
      <c r="AT36" s="223"/>
      <c r="AU36" s="223"/>
      <c r="AV36" s="223"/>
      <c r="AW36" s="223"/>
      <c r="AX36" s="223"/>
      <c r="AY36" s="223"/>
      <c r="AZ36" s="223"/>
      <c r="BA36" s="223"/>
      <c r="BB36" s="223"/>
      <c r="BC36" s="223"/>
      <c r="BD36" s="223"/>
      <c r="BE36" s="223"/>
      <c r="BF36" s="223"/>
      <c r="BG36" s="223"/>
      <c r="BH36" s="223"/>
      <c r="BI36" s="223"/>
      <c r="BJ36" s="223"/>
      <c r="BK36" s="223"/>
    </row>
    <row r="37" spans="1:63" s="226" customFormat="1" ht="23.25" x14ac:dyDescent="0.25">
      <c r="A37" s="517" t="s">
        <v>119</v>
      </c>
      <c r="B37" s="517"/>
      <c r="C37" s="517"/>
      <c r="D37" s="517"/>
      <c r="E37" s="68">
        <f>E15+E20+E25+E36</f>
        <v>5190</v>
      </c>
      <c r="F37" s="514"/>
      <c r="G37" s="515" t="s">
        <v>18</v>
      </c>
      <c r="H37" s="515"/>
      <c r="I37" s="515"/>
      <c r="J37" s="515"/>
      <c r="K37" s="142">
        <f>SUM(K29:K36)</f>
        <v>2458.0749999999998</v>
      </c>
      <c r="L37" s="223"/>
      <c r="M37" s="223"/>
      <c r="N37" s="223"/>
      <c r="O37" s="231"/>
      <c r="P37" s="231"/>
      <c r="Q37" s="231"/>
      <c r="R37" s="222"/>
      <c r="S37" s="222"/>
      <c r="T37" s="222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  <c r="AZ37" s="223"/>
      <c r="BA37" s="223"/>
      <c r="BB37" s="223"/>
      <c r="BC37" s="223"/>
      <c r="BD37" s="223"/>
      <c r="BE37" s="223"/>
      <c r="BF37" s="223"/>
      <c r="BG37" s="223"/>
      <c r="BH37" s="223"/>
      <c r="BI37" s="223"/>
      <c r="BJ37" s="223"/>
      <c r="BK37" s="223"/>
    </row>
    <row r="38" spans="1:63" s="226" customFormat="1" ht="15" x14ac:dyDescent="0.25">
      <c r="A38" s="223"/>
      <c r="B38" s="223"/>
      <c r="C38" s="223"/>
      <c r="D38" s="223"/>
      <c r="E38" s="223"/>
      <c r="F38" s="519"/>
      <c r="G38" s="519"/>
      <c r="H38" s="519"/>
      <c r="I38" s="519"/>
      <c r="J38" s="519"/>
      <c r="K38" s="519"/>
      <c r="L38" s="223"/>
      <c r="M38" s="223"/>
      <c r="N38" s="223"/>
      <c r="O38" s="231"/>
      <c r="P38" s="231"/>
      <c r="Q38" s="231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3"/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  <c r="AZ38" s="223"/>
      <c r="BA38" s="223"/>
      <c r="BB38" s="223"/>
      <c r="BC38" s="223"/>
      <c r="BD38" s="223"/>
      <c r="BE38" s="223"/>
      <c r="BF38" s="223"/>
      <c r="BG38" s="223"/>
      <c r="BH38" s="223"/>
      <c r="BI38" s="223"/>
      <c r="BJ38" s="223"/>
      <c r="BK38" s="223"/>
    </row>
    <row r="39" spans="1:63" s="226" customFormat="1" x14ac:dyDescent="0.25">
      <c r="A39" s="526" t="s">
        <v>120</v>
      </c>
      <c r="B39" s="527" t="s">
        <v>90</v>
      </c>
      <c r="C39" s="528"/>
      <c r="D39" s="529"/>
      <c r="E39" s="135">
        <f>VLOOKUP(B39,'FİYAT LİSTESİ'!G:I,2,0)</f>
        <v>317</v>
      </c>
      <c r="F39" s="521" t="s">
        <v>132</v>
      </c>
      <c r="G39" s="522" t="s">
        <v>122</v>
      </c>
      <c r="H39" s="522"/>
      <c r="I39" s="251" t="s">
        <v>117</v>
      </c>
      <c r="J39" s="252" t="s">
        <v>116</v>
      </c>
      <c r="K39" s="253" t="s">
        <v>0</v>
      </c>
      <c r="L39" s="223"/>
      <c r="M39" s="223"/>
      <c r="N39" s="223"/>
      <c r="O39" s="229"/>
      <c r="P39" s="229"/>
      <c r="Q39" s="231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  <c r="AL39" s="223"/>
      <c r="AM39" s="223"/>
      <c r="AN39" s="223"/>
      <c r="AO39" s="223"/>
      <c r="AP39" s="223"/>
      <c r="AQ39" s="223"/>
      <c r="AR39" s="223"/>
      <c r="AS39" s="223"/>
      <c r="AT39" s="223"/>
      <c r="AU39" s="223"/>
      <c r="AV39" s="223"/>
      <c r="AW39" s="223"/>
      <c r="AX39" s="223"/>
      <c r="AY39" s="223"/>
      <c r="AZ39" s="223"/>
      <c r="BA39" s="223"/>
      <c r="BB39" s="223"/>
      <c r="BC39" s="223"/>
      <c r="BD39" s="223"/>
      <c r="BE39" s="223"/>
      <c r="BF39" s="223"/>
      <c r="BG39" s="223"/>
      <c r="BH39" s="223"/>
      <c r="BI39" s="223"/>
      <c r="BJ39" s="223"/>
      <c r="BK39" s="223"/>
    </row>
    <row r="40" spans="1:63" s="223" customFormat="1" x14ac:dyDescent="0.25">
      <c r="A40" s="526"/>
      <c r="B40" s="527" t="s">
        <v>91</v>
      </c>
      <c r="C40" s="528"/>
      <c r="D40" s="529"/>
      <c r="E40" s="135">
        <f>VLOOKUP(B40,'FİYAT LİSTESİ'!G:I,2,0)</f>
        <v>317</v>
      </c>
      <c r="F40" s="521"/>
      <c r="G40" s="522" t="s">
        <v>88</v>
      </c>
      <c r="H40" s="522"/>
      <c r="I40" s="294">
        <v>1</v>
      </c>
      <c r="J40" s="140">
        <f>VLOOKUP(G40,'FİYAT LİSTESİ'!G:I,3,0)</f>
        <v>175</v>
      </c>
      <c r="K40" s="99">
        <f>IF(I40="YOK",0,I40*J40)</f>
        <v>175</v>
      </c>
      <c r="O40" s="231"/>
      <c r="P40" s="231"/>
      <c r="Q40" s="231"/>
      <c r="R40" s="222"/>
      <c r="S40" s="222"/>
      <c r="T40" s="222"/>
    </row>
    <row r="41" spans="1:63" s="223" customFormat="1" x14ac:dyDescent="0.25">
      <c r="A41" s="526"/>
      <c r="B41" s="530" t="s">
        <v>92</v>
      </c>
      <c r="C41" s="531"/>
      <c r="D41" s="532"/>
      <c r="E41" s="135">
        <f>VLOOKUP(B41,'FİYAT LİSTESİ'!G:I,2,0)</f>
        <v>97.6</v>
      </c>
      <c r="F41" s="521"/>
      <c r="G41" s="522" t="s">
        <v>89</v>
      </c>
      <c r="H41" s="522"/>
      <c r="I41" s="294">
        <v>1</v>
      </c>
      <c r="J41" s="140">
        <f>VLOOKUP(G41,'FİYAT LİSTESİ'!G:I,3,0)</f>
        <v>110</v>
      </c>
      <c r="K41" s="99">
        <f>IF(I41="YOK",0,I41*J41)</f>
        <v>110</v>
      </c>
      <c r="O41" s="231"/>
      <c r="P41" s="231"/>
      <c r="Q41" s="231"/>
      <c r="R41" s="255"/>
      <c r="S41" s="255"/>
      <c r="T41" s="222"/>
    </row>
    <row r="42" spans="1:63" s="223" customFormat="1" x14ac:dyDescent="0.25">
      <c r="A42" s="526"/>
      <c r="B42" s="256" t="s">
        <v>133</v>
      </c>
      <c r="C42" s="257"/>
      <c r="D42" s="258"/>
      <c r="E42" s="135">
        <f>SUM(E39:E41)</f>
        <v>731.6</v>
      </c>
      <c r="F42" s="521"/>
      <c r="G42" s="523" t="s">
        <v>18</v>
      </c>
      <c r="H42" s="524"/>
      <c r="I42" s="524"/>
      <c r="J42" s="525"/>
      <c r="K42" s="99">
        <f>SUM(K40:K41)</f>
        <v>285</v>
      </c>
      <c r="O42" s="229"/>
      <c r="P42" s="229"/>
      <c r="Q42" s="231"/>
      <c r="R42" s="222"/>
      <c r="S42" s="222"/>
      <c r="T42" s="222"/>
    </row>
    <row r="43" spans="1:63" s="223" customFormat="1" x14ac:dyDescent="0.25">
      <c r="A43" s="518"/>
      <c r="B43" s="518"/>
      <c r="C43" s="518"/>
      <c r="D43" s="518"/>
      <c r="E43" s="139"/>
      <c r="F43" s="222"/>
      <c r="G43" s="222"/>
      <c r="O43" s="259"/>
      <c r="P43" s="229"/>
      <c r="Q43" s="231"/>
      <c r="R43" s="222"/>
      <c r="S43" s="222"/>
      <c r="T43" s="222"/>
    </row>
    <row r="44" spans="1:63" s="223" customFormat="1" x14ac:dyDescent="0.25">
      <c r="A44" s="520"/>
      <c r="B44" s="520"/>
      <c r="C44" s="520"/>
      <c r="D44" s="520"/>
      <c r="E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</row>
    <row r="45" spans="1:63" s="223" customFormat="1" x14ac:dyDescent="0.25">
      <c r="A45" s="222"/>
      <c r="B45" s="222"/>
      <c r="C45" s="222"/>
      <c r="D45" s="222"/>
      <c r="E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</row>
    <row r="46" spans="1:63" s="223" customFormat="1" x14ac:dyDescent="0.25">
      <c r="A46" s="222"/>
      <c r="B46" s="255"/>
      <c r="C46" s="255"/>
      <c r="D46" s="255"/>
      <c r="E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</row>
    <row r="47" spans="1:63" s="223" customFormat="1" x14ac:dyDescent="0.25">
      <c r="A47" s="222"/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</row>
    <row r="48" spans="1:63" s="223" customFormat="1" x14ac:dyDescent="0.25">
      <c r="A48" s="222"/>
      <c r="B48" s="222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</row>
    <row r="49" spans="1:20" s="223" customFormat="1" x14ac:dyDescent="0.25">
      <c r="A49" s="222"/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</row>
    <row r="50" spans="1:20" s="223" customFormat="1" x14ac:dyDescent="0.25">
      <c r="A50" s="222"/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</row>
    <row r="51" spans="1:20" s="223" customFormat="1" x14ac:dyDescent="0.25">
      <c r="A51" s="222"/>
      <c r="B51" s="222"/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</row>
    <row r="52" spans="1:20" s="223" customFormat="1" x14ac:dyDescent="0.25">
      <c r="A52" s="222"/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</row>
    <row r="53" spans="1:20" s="223" customFormat="1" x14ac:dyDescent="0.25">
      <c r="A53" s="222"/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</row>
    <row r="54" spans="1:20" s="223" customFormat="1" x14ac:dyDescent="0.25">
      <c r="A54" s="222"/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</row>
    <row r="55" spans="1:20" s="223" customFormat="1" x14ac:dyDescent="0.25">
      <c r="A55" s="222"/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</row>
    <row r="56" spans="1:20" s="223" customFormat="1" x14ac:dyDescent="0.25">
      <c r="A56" s="222"/>
      <c r="B56" s="222"/>
      <c r="C56" s="222"/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</row>
    <row r="57" spans="1:20" s="223" customFormat="1" x14ac:dyDescent="0.25">
      <c r="A57" s="222"/>
      <c r="B57" s="222"/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</row>
    <row r="58" spans="1:20" s="223" customFormat="1" x14ac:dyDescent="0.25">
      <c r="A58" s="222"/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</row>
    <row r="59" spans="1:20" s="223" customFormat="1" x14ac:dyDescent="0.25">
      <c r="A59" s="222"/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</row>
    <row r="60" spans="1:20" s="223" customFormat="1" x14ac:dyDescent="0.25">
      <c r="A60" s="222"/>
      <c r="B60" s="222"/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</row>
    <row r="61" spans="1:20" s="223" customFormat="1" x14ac:dyDescent="0.25">
      <c r="A61" s="222"/>
      <c r="B61" s="222"/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</row>
    <row r="62" spans="1:20" s="223" customFormat="1" x14ac:dyDescent="0.25">
      <c r="A62" s="222"/>
      <c r="B62" s="222"/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</row>
    <row r="63" spans="1:20" s="223" customFormat="1" x14ac:dyDescent="0.25">
      <c r="A63" s="222"/>
      <c r="B63" s="222"/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</row>
    <row r="64" spans="1:20" s="223" customFormat="1" x14ac:dyDescent="0.25">
      <c r="A64" s="222"/>
      <c r="B64" s="222"/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</row>
    <row r="65" spans="1:20" s="223" customFormat="1" x14ac:dyDescent="0.25">
      <c r="A65" s="222"/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</row>
    <row r="66" spans="1:20" s="223" customFormat="1" x14ac:dyDescent="0.25">
      <c r="A66" s="222"/>
      <c r="B66" s="222"/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</row>
    <row r="67" spans="1:20" s="223" customFormat="1" x14ac:dyDescent="0.25">
      <c r="A67" s="222"/>
      <c r="B67" s="222"/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</row>
    <row r="68" spans="1:20" s="223" customFormat="1" x14ac:dyDescent="0.25">
      <c r="A68" s="222"/>
      <c r="B68" s="222"/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</row>
    <row r="69" spans="1:20" s="223" customFormat="1" x14ac:dyDescent="0.25">
      <c r="A69" s="222"/>
      <c r="B69" s="222"/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</row>
    <row r="70" spans="1:20" s="223" customFormat="1" x14ac:dyDescent="0.25">
      <c r="A70" s="222"/>
      <c r="B70" s="222"/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</row>
    <row r="71" spans="1:20" s="223" customFormat="1" x14ac:dyDescent="0.25">
      <c r="A71" s="222"/>
      <c r="B71" s="222"/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</row>
    <row r="72" spans="1:20" s="223" customFormat="1" x14ac:dyDescent="0.25">
      <c r="A72" s="222"/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</row>
    <row r="73" spans="1:20" s="223" customFormat="1" x14ac:dyDescent="0.25">
      <c r="A73" s="222"/>
      <c r="B73" s="222"/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</row>
    <row r="74" spans="1:20" s="223" customFormat="1" x14ac:dyDescent="0.25">
      <c r="A74" s="222"/>
      <c r="B74" s="222"/>
      <c r="C74" s="222"/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</row>
    <row r="75" spans="1:20" s="223" customFormat="1" x14ac:dyDescent="0.25">
      <c r="A75" s="222"/>
      <c r="B75" s="222"/>
      <c r="C75" s="222"/>
      <c r="D75" s="222"/>
      <c r="E75" s="222"/>
      <c r="F75" s="222"/>
      <c r="G75" s="222"/>
      <c r="H75" s="222"/>
      <c r="I75" s="222"/>
      <c r="J75" s="260"/>
      <c r="K75" s="222"/>
      <c r="L75" s="222"/>
      <c r="M75" s="222"/>
      <c r="N75" s="222"/>
      <c r="O75" s="222"/>
      <c r="P75" s="222"/>
      <c r="Q75" s="222"/>
      <c r="R75" s="222"/>
      <c r="S75" s="222"/>
      <c r="T75" s="222"/>
    </row>
    <row r="76" spans="1:20" s="223" customFormat="1" x14ac:dyDescent="0.25">
      <c r="A76" s="222"/>
      <c r="B76" s="222"/>
      <c r="C76" s="222"/>
      <c r="D76" s="222"/>
      <c r="E76" s="222"/>
      <c r="F76" s="222"/>
      <c r="G76" s="260"/>
      <c r="H76" s="260"/>
      <c r="I76" s="260"/>
      <c r="J76" s="260"/>
      <c r="K76" s="222"/>
      <c r="L76" s="222"/>
      <c r="M76" s="222"/>
      <c r="N76" s="222"/>
      <c r="O76" s="222"/>
      <c r="P76" s="222"/>
      <c r="Q76" s="222"/>
      <c r="R76" s="222"/>
      <c r="S76" s="222"/>
      <c r="T76" s="222"/>
    </row>
    <row r="77" spans="1:20" s="223" customFormat="1" x14ac:dyDescent="0.25">
      <c r="A77" s="222"/>
      <c r="B77" s="222"/>
      <c r="C77" s="222"/>
      <c r="D77" s="222"/>
      <c r="E77" s="222"/>
      <c r="F77" s="222"/>
      <c r="G77" s="260"/>
      <c r="H77" s="260"/>
      <c r="I77" s="260"/>
      <c r="J77" s="260"/>
      <c r="K77" s="222"/>
      <c r="L77" s="222"/>
      <c r="M77" s="222"/>
      <c r="N77" s="222"/>
      <c r="O77" s="222"/>
      <c r="P77" s="222"/>
      <c r="Q77" s="222"/>
      <c r="R77" s="222"/>
      <c r="S77" s="222"/>
      <c r="T77" s="222"/>
    </row>
    <row r="78" spans="1:20" s="223" customFormat="1" x14ac:dyDescent="0.25">
      <c r="A78" s="222"/>
      <c r="B78" s="222"/>
      <c r="C78" s="222"/>
      <c r="D78" s="222"/>
      <c r="E78" s="222"/>
      <c r="F78" s="261"/>
      <c r="G78" s="260"/>
      <c r="H78" s="260"/>
      <c r="I78" s="260"/>
      <c r="J78" s="260"/>
      <c r="K78" s="222"/>
      <c r="L78" s="222"/>
      <c r="M78" s="222"/>
      <c r="N78" s="222"/>
      <c r="O78" s="222"/>
      <c r="P78" s="222"/>
      <c r="Q78" s="222"/>
      <c r="R78" s="222"/>
      <c r="S78" s="222"/>
      <c r="T78" s="222"/>
    </row>
    <row r="79" spans="1:20" s="223" customFormat="1" x14ac:dyDescent="0.25">
      <c r="A79" s="222"/>
      <c r="B79" s="222"/>
      <c r="C79" s="222"/>
      <c r="D79" s="222"/>
      <c r="E79" s="222"/>
      <c r="F79" s="261"/>
      <c r="G79" s="260"/>
      <c r="H79" s="260"/>
      <c r="I79" s="260"/>
      <c r="J79" s="260"/>
      <c r="K79" s="222"/>
      <c r="L79" s="222"/>
      <c r="M79" s="222"/>
      <c r="N79" s="222"/>
      <c r="O79" s="222"/>
      <c r="P79" s="222"/>
      <c r="Q79" s="222"/>
      <c r="R79" s="222"/>
      <c r="S79" s="222"/>
      <c r="T79" s="222"/>
    </row>
    <row r="80" spans="1:20" s="223" customFormat="1" x14ac:dyDescent="0.25">
      <c r="A80" s="222"/>
      <c r="B80" s="222"/>
      <c r="C80" s="222"/>
      <c r="D80" s="222"/>
      <c r="E80" s="222"/>
      <c r="F80" s="261"/>
      <c r="G80" s="260"/>
      <c r="H80" s="260"/>
      <c r="I80" s="260"/>
      <c r="J80" s="260"/>
      <c r="K80" s="222"/>
      <c r="L80" s="222"/>
      <c r="M80" s="222"/>
      <c r="N80" s="222"/>
      <c r="O80" s="222"/>
      <c r="P80" s="222"/>
      <c r="Q80" s="222"/>
      <c r="R80" s="222"/>
      <c r="S80" s="222"/>
      <c r="T80" s="222"/>
    </row>
    <row r="81" spans="1:5" x14ac:dyDescent="0.25">
      <c r="A81" s="222"/>
      <c r="B81" s="222"/>
      <c r="C81" s="222"/>
      <c r="D81" s="222"/>
      <c r="E81" s="222"/>
    </row>
    <row r="82" spans="1:5" x14ac:dyDescent="0.25">
      <c r="A82" s="222"/>
      <c r="B82" s="222"/>
      <c r="C82" s="222"/>
      <c r="D82" s="222"/>
      <c r="E82" s="222"/>
    </row>
    <row r="83" spans="1:5" x14ac:dyDescent="0.25">
      <c r="A83" s="222"/>
      <c r="B83" s="222"/>
      <c r="C83" s="222"/>
      <c r="D83" s="222"/>
      <c r="E83" s="222"/>
    </row>
    <row r="84" spans="1:5" x14ac:dyDescent="0.25">
      <c r="A84" s="222"/>
      <c r="B84" s="222"/>
      <c r="C84" s="222"/>
      <c r="D84" s="222"/>
      <c r="E84" s="222"/>
    </row>
  </sheetData>
  <sheetProtection algorithmName="SHA-512" hashValue="O9kS5eJAWYMUY+vlQa+CZAWhNyOuo1iKrhaKNMJdL09+LK5nozSApP64JfFAzoTnNL6FbHEWEi0irpyxcfALcw==" saltValue="PnFGvA45UYVK9KAaeAtZgA==" spinCount="100000" sheet="1" objects="1" scenarios="1"/>
  <mergeCells count="74">
    <mergeCell ref="A37:D37"/>
    <mergeCell ref="G37:J37"/>
    <mergeCell ref="A43:D43"/>
    <mergeCell ref="F38:K38"/>
    <mergeCell ref="A44:D44"/>
    <mergeCell ref="F39:F42"/>
    <mergeCell ref="G39:H39"/>
    <mergeCell ref="G40:H40"/>
    <mergeCell ref="G41:H41"/>
    <mergeCell ref="G42:J42"/>
    <mergeCell ref="A39:A42"/>
    <mergeCell ref="B39:D39"/>
    <mergeCell ref="B40:D40"/>
    <mergeCell ref="B41:D41"/>
    <mergeCell ref="G32:I32"/>
    <mergeCell ref="G33:I33"/>
    <mergeCell ref="K33:K34"/>
    <mergeCell ref="G34:I34"/>
    <mergeCell ref="G35:I36"/>
    <mergeCell ref="J35:J36"/>
    <mergeCell ref="K35:K36"/>
    <mergeCell ref="A22:A25"/>
    <mergeCell ref="F22:F27"/>
    <mergeCell ref="G22:I22"/>
    <mergeCell ref="G23:I23"/>
    <mergeCell ref="G24:I24"/>
    <mergeCell ref="G25:I25"/>
    <mergeCell ref="A26:E26"/>
    <mergeCell ref="G26:I26"/>
    <mergeCell ref="A27:A36"/>
    <mergeCell ref="G27:I27"/>
    <mergeCell ref="B36:D36"/>
    <mergeCell ref="F28:K28"/>
    <mergeCell ref="F29:F37"/>
    <mergeCell ref="G29:I29"/>
    <mergeCell ref="G30:I30"/>
    <mergeCell ref="G31:I31"/>
    <mergeCell ref="A21:K21"/>
    <mergeCell ref="A16:B20"/>
    <mergeCell ref="C16:D16"/>
    <mergeCell ref="F16:F20"/>
    <mergeCell ref="G16:I16"/>
    <mergeCell ref="C17:D17"/>
    <mergeCell ref="G17:I17"/>
    <mergeCell ref="C18:D18"/>
    <mergeCell ref="G18:I18"/>
    <mergeCell ref="K18:K19"/>
    <mergeCell ref="C19:D19"/>
    <mergeCell ref="G19:I19"/>
    <mergeCell ref="C20:D20"/>
    <mergeCell ref="G20:J20"/>
    <mergeCell ref="K5:K6"/>
    <mergeCell ref="A11:K11"/>
    <mergeCell ref="A12:E14"/>
    <mergeCell ref="F12:F15"/>
    <mergeCell ref="G12:K14"/>
    <mergeCell ref="A15:D15"/>
    <mergeCell ref="G15:I15"/>
    <mergeCell ref="A1:K1"/>
    <mergeCell ref="A2:E3"/>
    <mergeCell ref="F2:K3"/>
    <mergeCell ref="A4:A6"/>
    <mergeCell ref="B4:B6"/>
    <mergeCell ref="C4:C6"/>
    <mergeCell ref="D4:D6"/>
    <mergeCell ref="E4:E6"/>
    <mergeCell ref="F4:G4"/>
    <mergeCell ref="H4:I4"/>
    <mergeCell ref="J4:K4"/>
    <mergeCell ref="F5:F6"/>
    <mergeCell ref="G5:G6"/>
    <mergeCell ref="H5:H6"/>
    <mergeCell ref="I5:I6"/>
    <mergeCell ref="J5:J6"/>
  </mergeCells>
  <pageMargins left="0.7" right="0.7" top="0.75" bottom="0.75" header="0.3" footer="0.3"/>
  <ignoredErrors>
    <ignoredError sqref="K42 J19 J26:J27 E39:E41 C8:D10" unlocked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Y85"/>
  <sheetViews>
    <sheetView topLeftCell="A37" workbookViewId="0">
      <selection activeCell="C46" sqref="C46"/>
    </sheetView>
  </sheetViews>
  <sheetFormatPr defaultColWidth="9.140625" defaultRowHeight="21" x14ac:dyDescent="0.25"/>
  <cols>
    <col min="1" max="1" width="23.140625" style="260" customWidth="1"/>
    <col min="2" max="2" width="27.28515625" style="260" customWidth="1"/>
    <col min="3" max="3" width="17.140625" style="260" customWidth="1"/>
    <col min="4" max="4" width="15" style="260" customWidth="1"/>
    <col min="5" max="5" width="15.7109375" style="260" bestFit="1" customWidth="1"/>
    <col min="6" max="6" width="16.5703125" style="261" customWidth="1"/>
    <col min="7" max="7" width="16.7109375" style="260" customWidth="1"/>
    <col min="8" max="8" width="15" style="260" customWidth="1"/>
    <col min="9" max="9" width="17.28515625" style="260" customWidth="1"/>
    <col min="10" max="10" width="13.28515625" style="260" customWidth="1"/>
    <col min="11" max="11" width="15.28515625" style="222" customWidth="1"/>
    <col min="12" max="12" width="32.85546875" style="222" customWidth="1"/>
    <col min="13" max="51" width="9.140625" style="223"/>
    <col min="52" max="16384" width="9.140625" style="32"/>
  </cols>
  <sheetData>
    <row r="1" spans="1:51" ht="26.25" x14ac:dyDescent="0.25">
      <c r="A1" s="557" t="s">
        <v>236</v>
      </c>
      <c r="B1" s="556"/>
      <c r="C1" s="556"/>
      <c r="D1" s="556"/>
      <c r="E1" s="556"/>
      <c r="F1" s="556" t="s">
        <v>237</v>
      </c>
      <c r="G1" s="556"/>
      <c r="H1" s="556"/>
      <c r="I1" s="556"/>
      <c r="J1" s="556"/>
      <c r="K1" s="556"/>
    </row>
    <row r="2" spans="1:51" x14ac:dyDescent="0.25">
      <c r="A2" s="451" t="s">
        <v>145</v>
      </c>
      <c r="B2" s="451"/>
      <c r="C2" s="451"/>
      <c r="D2" s="451"/>
      <c r="E2" s="451"/>
      <c r="F2" s="452" t="s">
        <v>146</v>
      </c>
      <c r="G2" s="452"/>
      <c r="H2" s="452"/>
      <c r="I2" s="452"/>
      <c r="J2" s="452"/>
      <c r="K2" s="452"/>
    </row>
    <row r="3" spans="1:51" ht="15.75" thickBot="1" x14ac:dyDescent="0.3">
      <c r="A3" s="451"/>
      <c r="B3" s="451"/>
      <c r="C3" s="451"/>
      <c r="D3" s="451"/>
      <c r="E3" s="451"/>
      <c r="F3" s="452"/>
      <c r="G3" s="452"/>
      <c r="H3" s="533"/>
      <c r="I3" s="533"/>
      <c r="J3" s="452"/>
      <c r="K3" s="452"/>
      <c r="L3" s="223"/>
      <c r="AU3" s="32"/>
      <c r="AV3" s="32"/>
      <c r="AW3" s="32"/>
      <c r="AX3" s="32"/>
      <c r="AY3" s="32"/>
    </row>
    <row r="4" spans="1:51" s="226" customFormat="1" ht="15.75" x14ac:dyDescent="0.25">
      <c r="A4" s="453" t="s">
        <v>135</v>
      </c>
      <c r="B4" s="455" t="s">
        <v>136</v>
      </c>
      <c r="C4" s="455" t="s">
        <v>104</v>
      </c>
      <c r="D4" s="455" t="s">
        <v>152</v>
      </c>
      <c r="E4" s="455" t="s">
        <v>137</v>
      </c>
      <c r="F4" s="458" t="s">
        <v>147</v>
      </c>
      <c r="G4" s="534"/>
      <c r="H4" s="535" t="s">
        <v>141</v>
      </c>
      <c r="I4" s="536"/>
      <c r="J4" s="537" t="s">
        <v>138</v>
      </c>
      <c r="K4" s="458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</row>
    <row r="5" spans="1:51" s="226" customFormat="1" ht="15" x14ac:dyDescent="0.25">
      <c r="A5" s="453"/>
      <c r="B5" s="456"/>
      <c r="C5" s="456"/>
      <c r="D5" s="456"/>
      <c r="E5" s="456"/>
      <c r="F5" s="459" t="s">
        <v>148</v>
      </c>
      <c r="G5" s="538" t="s">
        <v>149</v>
      </c>
      <c r="H5" s="540" t="s">
        <v>142</v>
      </c>
      <c r="I5" s="541" t="s">
        <v>143</v>
      </c>
      <c r="J5" s="542" t="s">
        <v>139</v>
      </c>
      <c r="K5" s="461" t="s">
        <v>140</v>
      </c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3"/>
      <c r="AS5" s="223"/>
    </row>
    <row r="6" spans="1:51" s="226" customFormat="1" ht="15" x14ac:dyDescent="0.25">
      <c r="A6" s="454"/>
      <c r="B6" s="457"/>
      <c r="C6" s="456"/>
      <c r="D6" s="456"/>
      <c r="E6" s="456"/>
      <c r="F6" s="460"/>
      <c r="G6" s="539"/>
      <c r="H6" s="540"/>
      <c r="I6" s="541"/>
      <c r="J6" s="542"/>
      <c r="K6" s="461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3"/>
    </row>
    <row r="7" spans="1:51" s="226" customFormat="1" x14ac:dyDescent="0.25">
      <c r="A7" s="227" t="s">
        <v>121</v>
      </c>
      <c r="B7" s="282">
        <v>1</v>
      </c>
      <c r="C7" s="283">
        <v>6200</v>
      </c>
      <c r="D7" s="283"/>
      <c r="E7" s="54" t="str">
        <f>IF(D7&gt;0,C7*D7,"")</f>
        <v/>
      </c>
      <c r="F7" s="55">
        <f>E39+K42</f>
        <v>16670</v>
      </c>
      <c r="G7" s="108">
        <f>F7-E$44</f>
        <v>15938.4</v>
      </c>
      <c r="H7" s="110" t="str">
        <f>IF(D7="","",E7-F7)</f>
        <v/>
      </c>
      <c r="I7" s="111" t="str">
        <f>IF(H7="","",H7+E$44)</f>
        <v/>
      </c>
      <c r="J7" s="109">
        <f>F7/C7</f>
        <v>2.6887096774193546</v>
      </c>
      <c r="K7" s="57">
        <f>G7/C7</f>
        <v>2.5707096774193547</v>
      </c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</row>
    <row r="8" spans="1:51" s="226" customFormat="1" x14ac:dyDescent="0.25">
      <c r="A8" s="227" t="s">
        <v>17</v>
      </c>
      <c r="B8" s="284">
        <v>0.32500000000000001</v>
      </c>
      <c r="C8" s="283">
        <f>C$7*B8</f>
        <v>2015</v>
      </c>
      <c r="D8" s="285">
        <v>14</v>
      </c>
      <c r="E8" s="58">
        <f t="shared" ref="E8:E10" si="0">IF(D8&gt;0,C8*D8,"")</f>
        <v>28210</v>
      </c>
      <c r="F8" s="55">
        <f>F7+K20</f>
        <v>19790.625</v>
      </c>
      <c r="G8" s="108">
        <f>F8-E$44</f>
        <v>19059.025000000001</v>
      </c>
      <c r="H8" s="110">
        <f>IF(D8="","",E8-F8)</f>
        <v>8419.375</v>
      </c>
      <c r="I8" s="111">
        <f>IF(H8="","",H8+E$44)</f>
        <v>9150.9750000000004</v>
      </c>
      <c r="J8" s="109">
        <f>F8/C8</f>
        <v>9.8216501240694782</v>
      </c>
      <c r="K8" s="57">
        <f>G8/C8</f>
        <v>9.4585732009925572</v>
      </c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</row>
    <row r="9" spans="1:51" s="226" customFormat="1" x14ac:dyDescent="0.25">
      <c r="A9" s="227" t="s">
        <v>124</v>
      </c>
      <c r="B9" s="286">
        <v>0.91</v>
      </c>
      <c r="C9" s="283">
        <f>C$7*B9</f>
        <v>5642</v>
      </c>
      <c r="D9" s="287">
        <v>4.2</v>
      </c>
      <c r="E9" s="58">
        <f t="shared" si="0"/>
        <v>23696.400000000001</v>
      </c>
      <c r="F9" s="60">
        <f>F7+K27-K42</f>
        <v>21500.036</v>
      </c>
      <c r="G9" s="108">
        <f>F9-E$44</f>
        <v>20768.436000000002</v>
      </c>
      <c r="H9" s="110">
        <f>IF(D9="","",E9-F9)</f>
        <v>2196.3640000000014</v>
      </c>
      <c r="I9" s="111">
        <f>IF(H9="","",H9+E$44)</f>
        <v>2927.9640000000013</v>
      </c>
      <c r="J9" s="109">
        <f>F9/C9</f>
        <v>3.8107118043247077</v>
      </c>
      <c r="K9" s="57">
        <f>G9/C9</f>
        <v>3.681041474654378</v>
      </c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223"/>
      <c r="AS9" s="223"/>
    </row>
    <row r="10" spans="1:51" s="226" customFormat="1" ht="21.75" thickBot="1" x14ac:dyDescent="0.3">
      <c r="A10" s="227" t="s">
        <v>82</v>
      </c>
      <c r="B10" s="286">
        <v>0.875</v>
      </c>
      <c r="C10" s="283">
        <f>C$7*B10</f>
        <v>5425</v>
      </c>
      <c r="D10" s="287">
        <v>3.8</v>
      </c>
      <c r="E10" s="58">
        <f t="shared" si="0"/>
        <v>20615</v>
      </c>
      <c r="F10" s="60">
        <f>F7+K37-K42</f>
        <v>18864.462500000001</v>
      </c>
      <c r="G10" s="108">
        <f>F10-E$44</f>
        <v>18132.862500000003</v>
      </c>
      <c r="H10" s="112">
        <f>IF(D10="","",E10-F10)</f>
        <v>1750.5374999999985</v>
      </c>
      <c r="I10" s="113">
        <f>IF(H10="","",H10+E$44)</f>
        <v>2482.1374999999985</v>
      </c>
      <c r="J10" s="109">
        <f>F10/C10</f>
        <v>3.477320276497696</v>
      </c>
      <c r="K10" s="57">
        <f>G10/C10</f>
        <v>3.3424631336405537</v>
      </c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  <c r="AL10" s="223"/>
      <c r="AM10" s="223"/>
      <c r="AN10" s="223"/>
      <c r="AO10" s="223"/>
      <c r="AP10" s="223"/>
      <c r="AQ10" s="223"/>
      <c r="AR10" s="223"/>
      <c r="AS10" s="223"/>
    </row>
    <row r="11" spans="1:51" s="226" customFormat="1" ht="18.75" thickBot="1" x14ac:dyDescent="0.3">
      <c r="A11" s="462"/>
      <c r="B11" s="462"/>
      <c r="C11" s="462"/>
      <c r="D11" s="462"/>
      <c r="E11" s="462"/>
      <c r="F11" s="462"/>
      <c r="G11" s="462"/>
      <c r="H11" s="544"/>
      <c r="I11" s="544"/>
      <c r="J11" s="462"/>
      <c r="K11" s="462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</row>
    <row r="12" spans="1:51" s="226" customFormat="1" ht="15" x14ac:dyDescent="0.25">
      <c r="A12" s="463" t="s">
        <v>144</v>
      </c>
      <c r="B12" s="463"/>
      <c r="C12" s="463"/>
      <c r="D12" s="463"/>
      <c r="E12" s="464"/>
      <c r="F12" s="469" t="s">
        <v>192</v>
      </c>
      <c r="G12" s="472" t="s">
        <v>150</v>
      </c>
      <c r="H12" s="473"/>
      <c r="I12" s="473"/>
      <c r="J12" s="473"/>
      <c r="K12" s="47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</row>
    <row r="13" spans="1:51" s="226" customFormat="1" x14ac:dyDescent="0.25">
      <c r="A13" s="465"/>
      <c r="B13" s="465"/>
      <c r="C13" s="465"/>
      <c r="D13" s="465"/>
      <c r="E13" s="466"/>
      <c r="F13" s="470"/>
      <c r="G13" s="472"/>
      <c r="H13" s="473"/>
      <c r="I13" s="473"/>
      <c r="J13" s="473"/>
      <c r="K13" s="473"/>
      <c r="L13" s="222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3"/>
      <c r="AN13" s="223"/>
      <c r="AO13" s="223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</row>
    <row r="14" spans="1:51" s="226" customFormat="1" x14ac:dyDescent="0.25">
      <c r="A14" s="467"/>
      <c r="B14" s="467"/>
      <c r="C14" s="467"/>
      <c r="D14" s="467"/>
      <c r="E14" s="468"/>
      <c r="F14" s="470"/>
      <c r="G14" s="474"/>
      <c r="H14" s="475"/>
      <c r="I14" s="475"/>
      <c r="J14" s="475"/>
      <c r="K14" s="475"/>
      <c r="L14" s="222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</row>
    <row r="15" spans="1:51" s="226" customFormat="1" ht="21.75" thickBot="1" x14ac:dyDescent="0.3">
      <c r="A15" s="476" t="s">
        <v>108</v>
      </c>
      <c r="B15" s="477"/>
      <c r="C15" s="477"/>
      <c r="D15" s="478"/>
      <c r="E15" s="288">
        <v>2000</v>
      </c>
      <c r="F15" s="471"/>
      <c r="G15" s="479" t="s">
        <v>122</v>
      </c>
      <c r="H15" s="480"/>
      <c r="I15" s="480"/>
      <c r="J15" s="230" t="s">
        <v>123</v>
      </c>
      <c r="K15" s="221" t="s">
        <v>0</v>
      </c>
      <c r="L15" s="222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  <c r="AO15" s="223"/>
      <c r="AP15" s="223"/>
      <c r="AQ15" s="223"/>
      <c r="AR15" s="223"/>
      <c r="AS15" s="223"/>
      <c r="AT15" s="223"/>
      <c r="AU15" s="223"/>
      <c r="AV15" s="223"/>
      <c r="AW15" s="223"/>
    </row>
    <row r="16" spans="1:51" s="226" customFormat="1" ht="21" customHeight="1" x14ac:dyDescent="0.25">
      <c r="A16" s="483" t="s">
        <v>99</v>
      </c>
      <c r="B16" s="484"/>
      <c r="C16" s="489" t="s">
        <v>110</v>
      </c>
      <c r="D16" s="489"/>
      <c r="E16" s="262" t="s">
        <v>109</v>
      </c>
      <c r="F16" s="546" t="s">
        <v>188</v>
      </c>
      <c r="G16" s="479" t="s">
        <v>215</v>
      </c>
      <c r="H16" s="480"/>
      <c r="I16" s="480"/>
      <c r="J16" s="221">
        <f>VLOOKUP(G16,'FİYAT LİSTESİ'!B:D,3,0)</f>
        <v>1375</v>
      </c>
      <c r="K16" s="114">
        <f>C8*J16/1000</f>
        <v>2770.625</v>
      </c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223"/>
      <c r="AS16" s="223"/>
      <c r="AT16" s="223"/>
      <c r="AU16" s="223"/>
      <c r="AV16" s="223"/>
      <c r="AW16" s="223"/>
      <c r="AX16" s="223"/>
    </row>
    <row r="17" spans="1:51" s="226" customFormat="1" ht="21" customHeight="1" x14ac:dyDescent="0.25">
      <c r="A17" s="485"/>
      <c r="B17" s="486"/>
      <c r="C17" s="545" t="s">
        <v>134</v>
      </c>
      <c r="D17" s="545"/>
      <c r="E17" s="59">
        <f>VLOOKUP(C17,'FİYAT LİSTESİ'!B:D,3,0)</f>
        <v>330</v>
      </c>
      <c r="F17" s="547"/>
      <c r="G17" s="549" t="s">
        <v>161</v>
      </c>
      <c r="H17" s="493"/>
      <c r="I17" s="493"/>
      <c r="J17" s="221">
        <f>VLOOKUP(G17,'FİYAT LİSTESİ'!B:D,3,0)</f>
        <v>150</v>
      </c>
      <c r="K17" s="115">
        <f>J17</f>
        <v>150</v>
      </c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223"/>
      <c r="AO17" s="223"/>
      <c r="AP17" s="223"/>
      <c r="AQ17" s="223"/>
      <c r="AR17" s="223"/>
      <c r="AS17" s="223"/>
      <c r="AT17" s="223"/>
      <c r="AU17" s="223"/>
      <c r="AV17" s="223"/>
      <c r="AW17" s="223"/>
      <c r="AX17" s="223"/>
    </row>
    <row r="18" spans="1:51" s="226" customFormat="1" ht="21" customHeight="1" x14ac:dyDescent="0.25">
      <c r="A18" s="485"/>
      <c r="B18" s="486"/>
      <c r="C18" s="492" t="s">
        <v>100</v>
      </c>
      <c r="D18" s="492"/>
      <c r="E18" s="59">
        <f>VLOOKUP(C18,'FİYAT LİSTESİ'!B:D,3,0)</f>
        <v>375</v>
      </c>
      <c r="F18" s="547"/>
      <c r="G18" s="479" t="s">
        <v>162</v>
      </c>
      <c r="H18" s="480"/>
      <c r="I18" s="480"/>
      <c r="J18" s="221">
        <f>VLOOKUP(G18,'FİYAT LİSTESİ'!B:D,3,0)</f>
        <v>50</v>
      </c>
      <c r="K18" s="417">
        <f>J18*J19</f>
        <v>200</v>
      </c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23"/>
      <c r="AN18" s="223"/>
      <c r="AO18" s="223"/>
      <c r="AP18" s="223"/>
      <c r="AQ18" s="223"/>
      <c r="AR18" s="223"/>
      <c r="AS18" s="223"/>
      <c r="AT18" s="223"/>
      <c r="AU18" s="223"/>
      <c r="AV18" s="223"/>
      <c r="AW18" s="223"/>
      <c r="AX18" s="223"/>
    </row>
    <row r="19" spans="1:51" s="226" customFormat="1" ht="21" customHeight="1" x14ac:dyDescent="0.25">
      <c r="A19" s="485"/>
      <c r="B19" s="486"/>
      <c r="C19" s="494" t="s">
        <v>101</v>
      </c>
      <c r="D19" s="494"/>
      <c r="E19" s="59">
        <f>VLOOKUP(C19,'FİYAT LİSTESİ'!B:D,3,0)</f>
        <v>305</v>
      </c>
      <c r="F19" s="547"/>
      <c r="G19" s="479" t="s">
        <v>118</v>
      </c>
      <c r="H19" s="480"/>
      <c r="I19" s="480"/>
      <c r="J19" s="221">
        <f>ROUNDUP(C8/600,0)</f>
        <v>4</v>
      </c>
      <c r="K19" s="54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  <c r="AL19" s="223"/>
      <c r="AM19" s="223"/>
      <c r="AN19" s="223"/>
      <c r="AO19" s="223"/>
      <c r="AP19" s="223"/>
      <c r="AQ19" s="223"/>
      <c r="AR19" s="223"/>
      <c r="AS19" s="223"/>
      <c r="AT19" s="223"/>
      <c r="AU19" s="223"/>
      <c r="AV19" s="223"/>
      <c r="AW19" s="223"/>
      <c r="AX19" s="223"/>
    </row>
    <row r="20" spans="1:51" s="226" customFormat="1" ht="21" customHeight="1" thickBot="1" x14ac:dyDescent="0.3">
      <c r="A20" s="485"/>
      <c r="B20" s="486"/>
      <c r="C20" s="550" t="s">
        <v>93</v>
      </c>
      <c r="D20" s="550"/>
      <c r="E20" s="59">
        <f>VLOOKUP(C20,'FİYAT LİSTESİ'!B:D,3,0)</f>
        <v>85</v>
      </c>
      <c r="F20" s="548"/>
      <c r="G20" s="479" t="s">
        <v>18</v>
      </c>
      <c r="H20" s="480"/>
      <c r="I20" s="480"/>
      <c r="J20" s="480"/>
      <c r="K20" s="114">
        <f>SUM(K16:K18)</f>
        <v>3120.625</v>
      </c>
      <c r="L20" s="222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</row>
    <row r="21" spans="1:51" s="226" customFormat="1" ht="24" thickBot="1" x14ac:dyDescent="0.3">
      <c r="A21" s="485"/>
      <c r="B21" s="486"/>
      <c r="C21" s="492" t="s">
        <v>102</v>
      </c>
      <c r="D21" s="492"/>
      <c r="E21" s="59">
        <f>VLOOKUP(C21,'FİYAT LİSTESİ'!B:D,3,0)</f>
        <v>165</v>
      </c>
      <c r="F21" s="49"/>
      <c r="G21" s="49"/>
      <c r="H21" s="49"/>
      <c r="I21" s="49"/>
      <c r="J21" s="49"/>
      <c r="K21" s="49"/>
      <c r="L21" s="222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23"/>
      <c r="AN21" s="223"/>
      <c r="AO21" s="223"/>
      <c r="AP21" s="223"/>
      <c r="AQ21" s="223"/>
      <c r="AR21" s="223"/>
      <c r="AS21" s="223"/>
      <c r="AT21" s="223"/>
      <c r="AU21" s="223"/>
      <c r="AV21" s="223"/>
      <c r="AW21" s="223"/>
      <c r="AX21" s="223"/>
    </row>
    <row r="22" spans="1:51" s="226" customFormat="1" ht="23.25" customHeight="1" x14ac:dyDescent="0.25">
      <c r="A22" s="487"/>
      <c r="B22" s="488"/>
      <c r="C22" s="495" t="s">
        <v>18</v>
      </c>
      <c r="D22" s="495"/>
      <c r="E22" s="120">
        <f>SUM(E17:E21)</f>
        <v>1260</v>
      </c>
      <c r="F22" s="558" t="s">
        <v>189</v>
      </c>
      <c r="G22" s="503" t="s">
        <v>125</v>
      </c>
      <c r="H22" s="499"/>
      <c r="I22" s="499"/>
      <c r="J22" s="66">
        <f>VLOOKUP(G22,'FİYAT LİSTESİ'!G:I,3,0)</f>
        <v>850</v>
      </c>
      <c r="K22" s="67">
        <f>J22</f>
        <v>850</v>
      </c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  <c r="AR22" s="223"/>
      <c r="AS22" s="223"/>
      <c r="AT22" s="223"/>
      <c r="AU22" s="223"/>
      <c r="AV22" s="223"/>
      <c r="AW22" s="223"/>
    </row>
    <row r="23" spans="1:51" s="226" customFormat="1" ht="23.25" x14ac:dyDescent="0.25">
      <c r="A23" s="263"/>
      <c r="B23" s="49"/>
      <c r="C23" s="49"/>
      <c r="D23" s="49"/>
      <c r="E23" s="49"/>
      <c r="F23" s="559"/>
      <c r="G23" s="561" t="s">
        <v>126</v>
      </c>
      <c r="H23" s="500"/>
      <c r="I23" s="500"/>
      <c r="J23" s="66">
        <f>VLOOKUP(G23,'FİYAT LİSTESİ'!G:I,3,0)</f>
        <v>700</v>
      </c>
      <c r="K23" s="67">
        <f>J23*C9/1000</f>
        <v>3949.4</v>
      </c>
      <c r="L23" s="222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O23" s="223"/>
      <c r="AP23" s="223"/>
      <c r="AQ23" s="223"/>
      <c r="AR23" s="223"/>
      <c r="AS23" s="223"/>
      <c r="AT23" s="223"/>
      <c r="AU23" s="223"/>
      <c r="AV23" s="223"/>
      <c r="AW23" s="223"/>
      <c r="AX23" s="223"/>
      <c r="AY23" s="223"/>
    </row>
    <row r="24" spans="1:51" s="226" customFormat="1" ht="25.5" x14ac:dyDescent="0.25">
      <c r="A24" s="496" t="s">
        <v>103</v>
      </c>
      <c r="B24" s="235" t="s">
        <v>107</v>
      </c>
      <c r="C24" s="236" t="s">
        <v>104</v>
      </c>
      <c r="D24" s="237" t="s">
        <v>105</v>
      </c>
      <c r="E24" s="264" t="s">
        <v>0</v>
      </c>
      <c r="F24" s="559"/>
      <c r="G24" s="503" t="s">
        <v>257</v>
      </c>
      <c r="H24" s="499"/>
      <c r="I24" s="499"/>
      <c r="J24" s="66">
        <f>VLOOKUP(G24,'FİYAT LİSTESİ'!G:I,3,0)</f>
        <v>2900</v>
      </c>
      <c r="K24" s="67">
        <f>(C9/1000)*(J24/50)</f>
        <v>327.23600000000005</v>
      </c>
      <c r="L24" s="222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  <c r="AL24" s="223"/>
      <c r="AM24" s="223"/>
      <c r="AN24" s="223"/>
      <c r="AO24" s="223"/>
      <c r="AP24" s="223"/>
      <c r="AQ24" s="223"/>
      <c r="AR24" s="223"/>
      <c r="AS24" s="223"/>
      <c r="AT24" s="223"/>
      <c r="AU24" s="223"/>
      <c r="AV24" s="223"/>
      <c r="AW24" s="223"/>
      <c r="AX24" s="223"/>
      <c r="AY24" s="223"/>
    </row>
    <row r="25" spans="1:51" s="226" customFormat="1" x14ac:dyDescent="0.25">
      <c r="A25" s="497"/>
      <c r="B25" s="265" t="s">
        <v>156</v>
      </c>
      <c r="C25" s="289">
        <v>4</v>
      </c>
      <c r="D25" s="62">
        <f>VLOOKUP(B25,'FİYAT LİSTESİ'!B:D,3,0)</f>
        <v>400</v>
      </c>
      <c r="E25" s="121">
        <f>C25*D25</f>
        <v>1600</v>
      </c>
      <c r="F25" s="559"/>
      <c r="G25" s="502" t="s">
        <v>190</v>
      </c>
      <c r="H25" s="502"/>
      <c r="I25" s="503"/>
      <c r="J25" s="66">
        <f>VLOOKUP(G25,'FİYAT LİSTESİ'!G:I,3,0)</f>
        <v>200</v>
      </c>
      <c r="K25" s="67">
        <f>J25*C9/1000</f>
        <v>1128.4000000000001</v>
      </c>
      <c r="L25" s="222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223"/>
      <c r="AH25" s="223"/>
      <c r="AI25" s="223"/>
      <c r="AJ25" s="223"/>
      <c r="AK25" s="223"/>
      <c r="AL25" s="223"/>
      <c r="AM25" s="223"/>
      <c r="AN25" s="223"/>
      <c r="AO25" s="223"/>
      <c r="AP25" s="223"/>
      <c r="AQ25" s="223"/>
      <c r="AR25" s="223"/>
      <c r="AS25" s="223"/>
      <c r="AT25" s="223"/>
      <c r="AU25" s="223"/>
      <c r="AV25" s="223"/>
      <c r="AW25" s="223"/>
      <c r="AX25" s="223"/>
      <c r="AY25" s="223"/>
    </row>
    <row r="26" spans="1:51" s="226" customFormat="1" x14ac:dyDescent="0.25">
      <c r="A26" s="497"/>
      <c r="B26" s="266" t="s">
        <v>151</v>
      </c>
      <c r="C26" s="321">
        <v>0.6</v>
      </c>
      <c r="D26" s="62">
        <f>D25*C26</f>
        <v>240</v>
      </c>
      <c r="E26" s="267">
        <f>C25*D26</f>
        <v>960</v>
      </c>
      <c r="F26" s="559"/>
      <c r="G26" s="503" t="s">
        <v>127</v>
      </c>
      <c r="H26" s="499"/>
      <c r="I26" s="499"/>
      <c r="J26" s="147">
        <f>ROUNDUP(C7/1000,1)</f>
        <v>6.2</v>
      </c>
      <c r="K26" s="116"/>
      <c r="L26" s="222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  <c r="AO26" s="223"/>
      <c r="AP26" s="223"/>
      <c r="AQ26" s="223"/>
      <c r="AR26" s="223"/>
      <c r="AS26" s="223"/>
      <c r="AT26" s="223"/>
      <c r="AU26" s="223"/>
      <c r="AV26" s="223"/>
      <c r="AW26" s="223"/>
      <c r="AX26" s="223"/>
      <c r="AY26" s="223"/>
    </row>
    <row r="27" spans="1:51" s="226" customFormat="1" ht="28.15" customHeight="1" thickBot="1" x14ac:dyDescent="0.3">
      <c r="A27" s="497"/>
      <c r="B27" s="268" t="s">
        <v>18</v>
      </c>
      <c r="C27" s="244"/>
      <c r="D27" s="64"/>
      <c r="E27" s="122">
        <f>E26</f>
        <v>960</v>
      </c>
      <c r="F27" s="560"/>
      <c r="G27" s="502" t="s">
        <v>18</v>
      </c>
      <c r="H27" s="502"/>
      <c r="I27" s="503"/>
      <c r="J27" s="246"/>
      <c r="K27" s="67">
        <f>SUM(K22:K26)</f>
        <v>6255.0360000000001</v>
      </c>
      <c r="L27" s="222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  <c r="AL27" s="223"/>
      <c r="AM27" s="223"/>
      <c r="AN27" s="223"/>
      <c r="AO27" s="223"/>
      <c r="AP27" s="223"/>
      <c r="AQ27" s="223"/>
      <c r="AR27" s="223"/>
      <c r="AS27" s="223"/>
      <c r="AT27" s="223"/>
      <c r="AU27" s="223"/>
      <c r="AV27" s="223"/>
      <c r="AW27" s="223"/>
      <c r="AX27" s="223"/>
      <c r="AY27" s="223"/>
    </row>
    <row r="28" spans="1:51" s="226" customFormat="1" ht="23.25" x14ac:dyDescent="0.25">
      <c r="A28" s="504"/>
      <c r="B28" s="504"/>
      <c r="C28" s="504"/>
      <c r="D28" s="504"/>
      <c r="E28" s="505"/>
      <c r="F28" s="511"/>
      <c r="G28" s="512"/>
      <c r="H28" s="512"/>
      <c r="I28" s="512"/>
      <c r="J28" s="512"/>
      <c r="K28" s="51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223"/>
      <c r="AS28" s="223"/>
      <c r="AT28" s="223"/>
      <c r="AU28" s="223"/>
      <c r="AV28" s="223"/>
      <c r="AW28" s="223"/>
      <c r="AX28" s="223"/>
      <c r="AY28" s="223"/>
    </row>
    <row r="29" spans="1:51" s="226" customFormat="1" ht="30" x14ac:dyDescent="0.25">
      <c r="A29" s="554" t="s">
        <v>111</v>
      </c>
      <c r="B29" s="103" t="s">
        <v>110</v>
      </c>
      <c r="C29" s="245" t="s">
        <v>104</v>
      </c>
      <c r="D29" s="245" t="s">
        <v>105</v>
      </c>
      <c r="E29" s="245" t="s">
        <v>0</v>
      </c>
      <c r="F29" s="514" t="s">
        <v>128</v>
      </c>
      <c r="G29" s="515" t="s">
        <v>125</v>
      </c>
      <c r="H29" s="515"/>
      <c r="I29" s="515"/>
      <c r="J29" s="66">
        <f>VLOOKUP(G29,'FİYAT LİSTESİ'!G:I,3,0)</f>
        <v>850</v>
      </c>
      <c r="K29" s="142">
        <f>J29</f>
        <v>850</v>
      </c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  <c r="AL29" s="223"/>
      <c r="AM29" s="223"/>
      <c r="AN29" s="223"/>
      <c r="AO29" s="223"/>
      <c r="AP29" s="223"/>
      <c r="AQ29" s="223"/>
      <c r="AR29" s="223"/>
      <c r="AS29" s="223"/>
      <c r="AT29" s="223"/>
      <c r="AU29" s="223"/>
      <c r="AV29" s="223"/>
      <c r="AW29" s="223"/>
      <c r="AX29" s="223"/>
      <c r="AY29" s="223"/>
    </row>
    <row r="30" spans="1:51" s="226" customFormat="1" ht="18" x14ac:dyDescent="0.25">
      <c r="A30" s="555"/>
      <c r="B30" s="269" t="s">
        <v>85</v>
      </c>
      <c r="C30" s="322">
        <v>25</v>
      </c>
      <c r="D30" s="101">
        <f>VLOOKUP(B30,'FİYAT LİSTESİ'!B:D,3,0)</f>
        <v>24</v>
      </c>
      <c r="E30" s="102">
        <f>D30*C30</f>
        <v>600</v>
      </c>
      <c r="F30" s="514"/>
      <c r="G30" s="515" t="s">
        <v>191</v>
      </c>
      <c r="H30" s="515"/>
      <c r="I30" s="515"/>
      <c r="J30" s="66">
        <f>VLOOKUP(G30,'FİYAT LİSTESİ'!G:I,3,0)</f>
        <v>200</v>
      </c>
      <c r="K30" s="142">
        <f>J30*C10/1000</f>
        <v>1085</v>
      </c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  <c r="AL30" s="223"/>
      <c r="AM30" s="223"/>
      <c r="AN30" s="223"/>
      <c r="AO30" s="223"/>
      <c r="AP30" s="223"/>
      <c r="AQ30" s="223"/>
      <c r="AR30" s="223"/>
      <c r="AS30" s="223"/>
      <c r="AT30" s="223"/>
      <c r="AU30" s="223"/>
      <c r="AV30" s="223"/>
      <c r="AW30" s="223"/>
      <c r="AX30" s="223"/>
      <c r="AY30" s="223"/>
    </row>
    <row r="31" spans="1:51" s="226" customFormat="1" ht="18" x14ac:dyDescent="0.25">
      <c r="A31" s="555"/>
      <c r="B31" s="270" t="s">
        <v>98</v>
      </c>
      <c r="C31" s="322">
        <v>10</v>
      </c>
      <c r="D31" s="101">
        <f>VLOOKUP(B31,'FİYAT LİSTESİ'!B:D,3,0)</f>
        <v>23</v>
      </c>
      <c r="E31" s="102">
        <f>D31*C31*C34</f>
        <v>1150</v>
      </c>
      <c r="F31" s="514"/>
      <c r="G31" s="515" t="s">
        <v>257</v>
      </c>
      <c r="H31" s="515"/>
      <c r="I31" s="515"/>
      <c r="J31" s="66">
        <f>VLOOKUP(G31,'FİYAT LİSTESİ'!G:I,3,0)</f>
        <v>2900</v>
      </c>
      <c r="K31" s="142">
        <f>(C10/1000)*(J31/50)</f>
        <v>314.64999999999998</v>
      </c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  <c r="AL31" s="223"/>
      <c r="AM31" s="223"/>
      <c r="AN31" s="223"/>
      <c r="AO31" s="223"/>
      <c r="AP31" s="223"/>
      <c r="AQ31" s="223"/>
      <c r="AR31" s="223"/>
      <c r="AS31" s="223"/>
      <c r="AT31" s="223"/>
      <c r="AU31" s="223"/>
      <c r="AV31" s="223"/>
      <c r="AW31" s="223"/>
      <c r="AX31" s="223"/>
      <c r="AY31" s="223"/>
    </row>
    <row r="32" spans="1:51" s="226" customFormat="1" ht="18" x14ac:dyDescent="0.25">
      <c r="A32" s="555"/>
      <c r="B32" s="270" t="s">
        <v>112</v>
      </c>
      <c r="C32" s="322" t="s">
        <v>113</v>
      </c>
      <c r="D32" s="101">
        <f>VLOOKUP(B32,'FİYAT LİSTESİ'!B:D,3,0)</f>
        <v>450</v>
      </c>
      <c r="E32" s="102">
        <f>IF(C32="YOK",0,D32*C32)</f>
        <v>0</v>
      </c>
      <c r="F32" s="514"/>
      <c r="G32" s="515" t="s">
        <v>97</v>
      </c>
      <c r="H32" s="515"/>
      <c r="I32" s="515"/>
      <c r="J32" s="66">
        <f>VLOOKUP(G32,'FİYAT LİSTESİ'!G:I,3,0)</f>
        <v>50</v>
      </c>
      <c r="K32" s="142">
        <f>J32*C10/1000</f>
        <v>271.25</v>
      </c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  <c r="AL32" s="223"/>
      <c r="AM32" s="223"/>
      <c r="AN32" s="223"/>
      <c r="AO32" s="223"/>
      <c r="AP32" s="223"/>
      <c r="AQ32" s="223"/>
      <c r="AR32" s="223"/>
      <c r="AS32" s="223"/>
      <c r="AT32" s="223"/>
      <c r="AU32" s="223"/>
      <c r="AV32" s="223"/>
      <c r="AW32" s="223"/>
      <c r="AX32" s="223"/>
      <c r="AY32" s="223"/>
    </row>
    <row r="33" spans="1:51" s="226" customFormat="1" ht="18" x14ac:dyDescent="0.25">
      <c r="A33" s="555"/>
      <c r="B33" s="271"/>
      <c r="C33" s="323" t="s">
        <v>117</v>
      </c>
      <c r="D33" s="269" t="s">
        <v>116</v>
      </c>
      <c r="E33" s="102" t="s">
        <v>0</v>
      </c>
      <c r="F33" s="514"/>
      <c r="G33" s="515" t="s">
        <v>129</v>
      </c>
      <c r="H33" s="515"/>
      <c r="I33" s="515"/>
      <c r="J33" s="66">
        <f>VLOOKUP(G33,'FİYAT LİSTESİ'!G:I,3,0)</f>
        <v>35</v>
      </c>
      <c r="K33" s="376">
        <f>J33*J34*C10/1000</f>
        <v>284.8125</v>
      </c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3"/>
      <c r="AK33" s="223"/>
      <c r="AL33" s="223"/>
      <c r="AM33" s="223"/>
      <c r="AN33" s="223"/>
      <c r="AO33" s="223"/>
      <c r="AP33" s="223"/>
      <c r="AQ33" s="223"/>
      <c r="AR33" s="223"/>
      <c r="AS33" s="223"/>
      <c r="AT33" s="223"/>
      <c r="AU33" s="223"/>
      <c r="AV33" s="223"/>
      <c r="AW33" s="223"/>
      <c r="AX33" s="223"/>
      <c r="AY33" s="223"/>
    </row>
    <row r="34" spans="1:51" s="226" customFormat="1" ht="18" x14ac:dyDescent="0.25">
      <c r="A34" s="555"/>
      <c r="B34" s="272" t="s">
        <v>86</v>
      </c>
      <c r="C34" s="324">
        <v>5</v>
      </c>
      <c r="D34" s="273">
        <f>VLOOKUP(B34,'FİYAT LİSTESİ'!B:D,3,0)</f>
        <v>55</v>
      </c>
      <c r="E34" s="102">
        <f>IF(C34="YOK",0,D34*C34)</f>
        <v>275</v>
      </c>
      <c r="F34" s="514"/>
      <c r="G34" s="515" t="s">
        <v>131</v>
      </c>
      <c r="H34" s="515"/>
      <c r="I34" s="515"/>
      <c r="J34" s="66">
        <f>VLOOKUP(G34,'FİYAT LİSTESİ'!G:I,3,0)</f>
        <v>1.5</v>
      </c>
      <c r="K34" s="376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3"/>
      <c r="AO34" s="223"/>
      <c r="AP34" s="223"/>
      <c r="AQ34" s="223"/>
      <c r="AR34" s="223"/>
      <c r="AS34" s="223"/>
      <c r="AT34" s="223"/>
      <c r="AU34" s="223"/>
      <c r="AV34" s="223"/>
      <c r="AW34" s="223"/>
      <c r="AX34" s="223"/>
      <c r="AY34" s="223"/>
    </row>
    <row r="35" spans="1:51" s="226" customFormat="1" ht="15" customHeight="1" x14ac:dyDescent="0.25">
      <c r="A35" s="555"/>
      <c r="B35" s="269" t="s">
        <v>114</v>
      </c>
      <c r="C35" s="322" t="s">
        <v>113</v>
      </c>
      <c r="D35" s="273">
        <f>VLOOKUP(B35,'FİYAT LİSTESİ'!B:D,3,0)</f>
        <v>55</v>
      </c>
      <c r="E35" s="102">
        <f>IF(C35="YOK",0,C35*D35)</f>
        <v>0</v>
      </c>
      <c r="F35" s="514"/>
      <c r="G35" s="516" t="s">
        <v>130</v>
      </c>
      <c r="H35" s="516"/>
      <c r="I35" s="516"/>
      <c r="J35" s="378">
        <f>VLOOKUP(G35,'FİYAT LİSTESİ'!G:I,3,0)</f>
        <v>150</v>
      </c>
      <c r="K35" s="376">
        <f>J35*C10/1000</f>
        <v>813.75</v>
      </c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3"/>
      <c r="AO35" s="223"/>
      <c r="AP35" s="223"/>
      <c r="AQ35" s="223"/>
      <c r="AR35" s="223"/>
      <c r="AS35" s="223"/>
      <c r="AT35" s="223"/>
      <c r="AU35" s="223"/>
      <c r="AV35" s="223"/>
      <c r="AW35" s="223"/>
      <c r="AX35" s="223"/>
      <c r="AY35" s="223"/>
    </row>
    <row r="36" spans="1:51" s="226" customFormat="1" ht="15" customHeight="1" x14ac:dyDescent="0.25">
      <c r="A36" s="555"/>
      <c r="B36" s="270" t="s">
        <v>115</v>
      </c>
      <c r="C36" s="322">
        <v>4</v>
      </c>
      <c r="D36" s="273">
        <f>VLOOKUP(B36,'FİYAT LİSTESİ'!B:D,3,0)</f>
        <v>200</v>
      </c>
      <c r="E36" s="102">
        <f>IF(C36="YOK",0,D36*C36*5)</f>
        <v>4000</v>
      </c>
      <c r="F36" s="514"/>
      <c r="G36" s="516"/>
      <c r="H36" s="516"/>
      <c r="I36" s="516"/>
      <c r="J36" s="379"/>
      <c r="K36" s="376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223"/>
      <c r="AR36" s="223"/>
      <c r="AS36" s="223"/>
      <c r="AT36" s="223"/>
      <c r="AU36" s="223"/>
      <c r="AV36" s="223"/>
      <c r="AW36" s="223"/>
      <c r="AX36" s="223"/>
      <c r="AY36" s="223"/>
    </row>
    <row r="37" spans="1:51" s="226" customFormat="1" x14ac:dyDescent="0.25">
      <c r="A37" s="555"/>
      <c r="B37" s="269" t="s">
        <v>87</v>
      </c>
      <c r="C37" s="322">
        <v>4</v>
      </c>
      <c r="D37" s="273">
        <f>VLOOKUP(B37,'FİYAT LİSTESİ'!B:D,3,0)</f>
        <v>250</v>
      </c>
      <c r="E37" s="102">
        <f>IF(C37="YOK",0,D37*C37*5)</f>
        <v>5000</v>
      </c>
      <c r="F37" s="514"/>
      <c r="G37" s="515" t="s">
        <v>18</v>
      </c>
      <c r="H37" s="515"/>
      <c r="I37" s="515"/>
      <c r="J37" s="515"/>
      <c r="K37" s="142">
        <f>SUM(K29:K36)</f>
        <v>3619.4625000000001</v>
      </c>
      <c r="L37" s="222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</row>
    <row r="38" spans="1:51" s="226" customFormat="1" ht="15" x14ac:dyDescent="0.25">
      <c r="A38" s="555"/>
      <c r="B38" s="551" t="s">
        <v>18</v>
      </c>
      <c r="C38" s="552"/>
      <c r="D38" s="553"/>
      <c r="E38" s="274">
        <f>SUM(E34:E37)+SUM(E30:E32)</f>
        <v>11025</v>
      </c>
      <c r="F38" s="519"/>
      <c r="G38" s="519"/>
      <c r="H38" s="519"/>
      <c r="I38" s="519"/>
      <c r="J38" s="519"/>
      <c r="K38" s="519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3"/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</row>
    <row r="39" spans="1:51" s="226" customFormat="1" ht="23.25" x14ac:dyDescent="0.25">
      <c r="A39" s="517" t="s">
        <v>119</v>
      </c>
      <c r="B39" s="517"/>
      <c r="C39" s="517"/>
      <c r="D39" s="517"/>
      <c r="E39" s="68">
        <f>E15+E22+E27+E38</f>
        <v>15245</v>
      </c>
      <c r="F39" s="521" t="s">
        <v>132</v>
      </c>
      <c r="G39" s="522" t="s">
        <v>122</v>
      </c>
      <c r="H39" s="522"/>
      <c r="I39" s="325" t="s">
        <v>117</v>
      </c>
      <c r="J39" s="251" t="s">
        <v>116</v>
      </c>
      <c r="K39" s="253" t="s">
        <v>0</v>
      </c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  <c r="AL39" s="223"/>
      <c r="AM39" s="223"/>
      <c r="AN39" s="223"/>
      <c r="AO39" s="223"/>
      <c r="AP39" s="223"/>
      <c r="AQ39" s="223"/>
      <c r="AR39" s="223"/>
      <c r="AS39" s="223"/>
      <c r="AT39" s="223"/>
      <c r="AU39" s="223"/>
      <c r="AV39" s="223"/>
      <c r="AW39" s="223"/>
      <c r="AX39" s="223"/>
      <c r="AY39" s="223"/>
    </row>
    <row r="40" spans="1:51" s="223" customFormat="1" x14ac:dyDescent="0.25">
      <c r="F40" s="521"/>
      <c r="G40" s="522" t="s">
        <v>88</v>
      </c>
      <c r="H40" s="522"/>
      <c r="I40" s="294">
        <v>5</v>
      </c>
      <c r="J40" s="140">
        <f>VLOOKUP(G40,'FİYAT LİSTESİ'!G:I,3,0)</f>
        <v>175</v>
      </c>
      <c r="K40" s="99">
        <f>IF(I40="YOK",0,I40*J40)</f>
        <v>875</v>
      </c>
      <c r="L40" s="222"/>
    </row>
    <row r="41" spans="1:51" s="223" customFormat="1" ht="21" customHeight="1" x14ac:dyDescent="0.25">
      <c r="A41" s="526" t="s">
        <v>120</v>
      </c>
      <c r="B41" s="527" t="s">
        <v>90</v>
      </c>
      <c r="C41" s="528"/>
      <c r="D41" s="529"/>
      <c r="E41" s="135">
        <f>VLOOKUP(B41,'FİYAT LİSTESİ'!G:I,2,0)</f>
        <v>317</v>
      </c>
      <c r="F41" s="521"/>
      <c r="G41" s="522" t="s">
        <v>89</v>
      </c>
      <c r="H41" s="522"/>
      <c r="I41" s="294">
        <v>5</v>
      </c>
      <c r="J41" s="140">
        <f>VLOOKUP(G41,'FİYAT LİSTESİ'!G:I,3,0)</f>
        <v>110</v>
      </c>
      <c r="K41" s="99">
        <f>IF(I41="YOK",0,I41*J41)</f>
        <v>550</v>
      </c>
      <c r="L41" s="255"/>
    </row>
    <row r="42" spans="1:51" s="223" customFormat="1" x14ac:dyDescent="0.25">
      <c r="A42" s="526"/>
      <c r="B42" s="527" t="s">
        <v>91</v>
      </c>
      <c r="C42" s="528"/>
      <c r="D42" s="529"/>
      <c r="E42" s="135">
        <f>VLOOKUP(B42,'FİYAT LİSTESİ'!G:I,2,0)</f>
        <v>317</v>
      </c>
      <c r="F42" s="521"/>
      <c r="G42" s="523" t="s">
        <v>18</v>
      </c>
      <c r="H42" s="524"/>
      <c r="I42" s="524"/>
      <c r="J42" s="525"/>
      <c r="K42" s="99">
        <f>SUM(K40:K41)</f>
        <v>1425</v>
      </c>
      <c r="L42" s="222"/>
    </row>
    <row r="43" spans="1:51" s="223" customFormat="1" x14ac:dyDescent="0.25">
      <c r="A43" s="526"/>
      <c r="B43" s="530" t="s">
        <v>92</v>
      </c>
      <c r="C43" s="531"/>
      <c r="D43" s="532"/>
      <c r="E43" s="135">
        <f>VLOOKUP(B43,'FİYAT LİSTESİ'!G:I,2,0)</f>
        <v>97.6</v>
      </c>
      <c r="F43" s="222"/>
      <c r="G43" s="222"/>
      <c r="L43" s="222"/>
    </row>
    <row r="44" spans="1:51" s="223" customFormat="1" x14ac:dyDescent="0.25">
      <c r="A44" s="526"/>
      <c r="B44" s="256" t="s">
        <v>133</v>
      </c>
      <c r="C44" s="257"/>
      <c r="D44" s="258"/>
      <c r="E44" s="135">
        <f>SUM(E41:E43)</f>
        <v>731.6</v>
      </c>
      <c r="G44" s="222"/>
      <c r="H44" s="222"/>
      <c r="I44" s="222"/>
      <c r="J44" s="222"/>
      <c r="K44" s="222"/>
      <c r="L44" s="222"/>
    </row>
    <row r="45" spans="1:51" s="223" customFormat="1" x14ac:dyDescent="0.25">
      <c r="A45" s="520"/>
      <c r="B45" s="520"/>
      <c r="C45" s="520"/>
      <c r="D45" s="520"/>
      <c r="E45" s="222"/>
      <c r="G45" s="222"/>
      <c r="H45" s="222"/>
      <c r="I45" s="222"/>
      <c r="J45" s="222"/>
      <c r="K45" s="222"/>
      <c r="L45" s="222"/>
    </row>
    <row r="46" spans="1:51" s="223" customFormat="1" x14ac:dyDescent="0.25">
      <c r="A46" s="222"/>
      <c r="B46" s="222"/>
      <c r="C46" s="222"/>
      <c r="D46" s="222"/>
      <c r="E46" s="222"/>
      <c r="G46" s="222"/>
      <c r="H46" s="222"/>
      <c r="I46" s="222"/>
      <c r="J46" s="222"/>
      <c r="K46" s="222"/>
      <c r="L46" s="222"/>
    </row>
    <row r="47" spans="1:51" s="223" customFormat="1" x14ac:dyDescent="0.25">
      <c r="A47" s="222"/>
      <c r="B47" s="255"/>
      <c r="C47" s="255"/>
      <c r="D47" s="255"/>
      <c r="E47" s="222"/>
      <c r="F47" s="222"/>
      <c r="G47" s="222"/>
      <c r="H47" s="222"/>
      <c r="I47" s="222"/>
      <c r="J47" s="222"/>
      <c r="K47" s="222"/>
      <c r="L47" s="222"/>
    </row>
    <row r="48" spans="1:51" s="223" customFormat="1" x14ac:dyDescent="0.25">
      <c r="A48" s="222"/>
      <c r="B48" s="222"/>
      <c r="C48" s="222"/>
      <c r="D48" s="222"/>
      <c r="E48" s="222"/>
      <c r="F48" s="222"/>
      <c r="G48" s="222"/>
      <c r="H48" s="222"/>
      <c r="I48" s="222"/>
      <c r="J48" s="222"/>
      <c r="K48" s="222"/>
      <c r="L48" s="222"/>
    </row>
    <row r="49" spans="1:12" s="223" customFormat="1" x14ac:dyDescent="0.25">
      <c r="A49" s="222"/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</row>
    <row r="50" spans="1:12" s="223" customFormat="1" x14ac:dyDescent="0.25">
      <c r="A50" s="222"/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</row>
    <row r="51" spans="1:12" s="223" customFormat="1" x14ac:dyDescent="0.25">
      <c r="A51" s="222"/>
      <c r="B51" s="222"/>
      <c r="C51" s="222"/>
      <c r="D51" s="222"/>
      <c r="E51" s="222"/>
      <c r="F51" s="222"/>
      <c r="G51" s="222"/>
      <c r="H51" s="222"/>
      <c r="I51" s="222"/>
      <c r="J51" s="222"/>
      <c r="K51" s="222"/>
      <c r="L51" s="222"/>
    </row>
    <row r="52" spans="1:12" s="223" customFormat="1" x14ac:dyDescent="0.25">
      <c r="A52" s="222"/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</row>
    <row r="53" spans="1:12" s="223" customFormat="1" x14ac:dyDescent="0.25">
      <c r="A53" s="222"/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</row>
    <row r="54" spans="1:12" s="223" customFormat="1" x14ac:dyDescent="0.25">
      <c r="A54" s="222"/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2"/>
    </row>
    <row r="55" spans="1:12" s="223" customFormat="1" x14ac:dyDescent="0.25">
      <c r="A55" s="222"/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</row>
    <row r="56" spans="1:12" s="223" customFormat="1" x14ac:dyDescent="0.25">
      <c r="A56" s="222"/>
      <c r="B56" s="222"/>
      <c r="C56" s="222"/>
      <c r="D56" s="222"/>
      <c r="E56" s="222"/>
      <c r="F56" s="222"/>
      <c r="G56" s="222"/>
      <c r="H56" s="222"/>
      <c r="I56" s="222"/>
      <c r="J56" s="222"/>
      <c r="K56" s="222"/>
      <c r="L56" s="222"/>
    </row>
    <row r="57" spans="1:12" s="223" customFormat="1" x14ac:dyDescent="0.25">
      <c r="A57" s="222"/>
      <c r="B57" s="222"/>
      <c r="C57" s="222"/>
      <c r="D57" s="222"/>
      <c r="E57" s="222"/>
      <c r="F57" s="222"/>
      <c r="G57" s="222"/>
      <c r="H57" s="222"/>
      <c r="I57" s="222"/>
      <c r="J57" s="222"/>
      <c r="K57" s="222"/>
      <c r="L57" s="222"/>
    </row>
    <row r="58" spans="1:12" s="223" customFormat="1" x14ac:dyDescent="0.25">
      <c r="A58" s="222"/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</row>
    <row r="59" spans="1:12" s="223" customFormat="1" x14ac:dyDescent="0.25">
      <c r="A59" s="222"/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</row>
    <row r="60" spans="1:12" s="223" customFormat="1" x14ac:dyDescent="0.25">
      <c r="A60" s="222"/>
      <c r="B60" s="222"/>
      <c r="C60" s="222"/>
      <c r="D60" s="222"/>
      <c r="E60" s="222"/>
      <c r="F60" s="222"/>
      <c r="G60" s="222"/>
      <c r="H60" s="222"/>
      <c r="I60" s="222"/>
      <c r="J60" s="222"/>
      <c r="K60" s="222"/>
      <c r="L60" s="222"/>
    </row>
    <row r="61" spans="1:12" s="223" customFormat="1" x14ac:dyDescent="0.25">
      <c r="A61" s="222"/>
      <c r="B61" s="222"/>
      <c r="C61" s="222"/>
      <c r="D61" s="222"/>
      <c r="E61" s="222"/>
      <c r="F61" s="222"/>
      <c r="G61" s="222"/>
      <c r="H61" s="222"/>
      <c r="I61" s="222"/>
      <c r="J61" s="222"/>
      <c r="K61" s="222"/>
      <c r="L61" s="222"/>
    </row>
    <row r="62" spans="1:12" s="223" customFormat="1" x14ac:dyDescent="0.25">
      <c r="A62" s="222"/>
      <c r="B62" s="222"/>
      <c r="C62" s="222"/>
      <c r="D62" s="222"/>
      <c r="E62" s="222"/>
      <c r="F62" s="222"/>
      <c r="G62" s="222"/>
      <c r="H62" s="222"/>
      <c r="I62" s="222"/>
      <c r="J62" s="222"/>
      <c r="K62" s="222"/>
      <c r="L62" s="222"/>
    </row>
    <row r="63" spans="1:12" s="223" customFormat="1" x14ac:dyDescent="0.25">
      <c r="A63" s="222"/>
      <c r="B63" s="222"/>
      <c r="C63" s="222"/>
      <c r="D63" s="222"/>
      <c r="E63" s="222"/>
      <c r="F63" s="222"/>
      <c r="G63" s="222"/>
      <c r="H63" s="222"/>
      <c r="I63" s="222"/>
      <c r="J63" s="222"/>
      <c r="K63" s="222"/>
      <c r="L63" s="222"/>
    </row>
    <row r="64" spans="1:12" s="223" customFormat="1" x14ac:dyDescent="0.25">
      <c r="A64" s="222"/>
      <c r="B64" s="222"/>
      <c r="C64" s="222"/>
      <c r="D64" s="222"/>
      <c r="E64" s="222"/>
      <c r="F64" s="222"/>
      <c r="G64" s="222"/>
      <c r="H64" s="222"/>
      <c r="I64" s="222"/>
      <c r="J64" s="222"/>
      <c r="K64" s="222"/>
      <c r="L64" s="222"/>
    </row>
    <row r="65" spans="1:12" s="223" customFormat="1" x14ac:dyDescent="0.25">
      <c r="A65" s="222"/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22"/>
    </row>
    <row r="66" spans="1:12" s="223" customFormat="1" x14ac:dyDescent="0.25">
      <c r="A66" s="222"/>
      <c r="B66" s="222"/>
      <c r="C66" s="222"/>
      <c r="D66" s="222"/>
      <c r="E66" s="222"/>
      <c r="F66" s="222"/>
      <c r="G66" s="222"/>
      <c r="H66" s="222"/>
      <c r="I66" s="222"/>
      <c r="J66" s="222"/>
      <c r="K66" s="222"/>
      <c r="L66" s="222"/>
    </row>
    <row r="67" spans="1:12" s="223" customFormat="1" x14ac:dyDescent="0.25">
      <c r="A67" s="222"/>
      <c r="B67" s="222"/>
      <c r="C67" s="222"/>
      <c r="D67" s="222"/>
      <c r="E67" s="222"/>
      <c r="F67" s="222"/>
      <c r="G67" s="222"/>
      <c r="H67" s="222"/>
      <c r="I67" s="222"/>
      <c r="J67" s="222"/>
      <c r="K67" s="222"/>
      <c r="L67" s="222"/>
    </row>
    <row r="68" spans="1:12" s="223" customFormat="1" x14ac:dyDescent="0.25">
      <c r="A68" s="222"/>
      <c r="B68" s="222"/>
      <c r="C68" s="222"/>
      <c r="D68" s="222"/>
      <c r="E68" s="222"/>
      <c r="F68" s="222"/>
      <c r="G68" s="222"/>
      <c r="H68" s="222"/>
      <c r="I68" s="222"/>
      <c r="J68" s="222"/>
      <c r="K68" s="222"/>
      <c r="L68" s="222"/>
    </row>
    <row r="69" spans="1:12" s="223" customFormat="1" x14ac:dyDescent="0.25">
      <c r="A69" s="222"/>
      <c r="B69" s="222"/>
      <c r="C69" s="222"/>
      <c r="D69" s="222"/>
      <c r="E69" s="222"/>
      <c r="F69" s="222"/>
      <c r="G69" s="222"/>
      <c r="H69" s="222"/>
      <c r="I69" s="222"/>
      <c r="J69" s="222"/>
      <c r="K69" s="222"/>
      <c r="L69" s="222"/>
    </row>
    <row r="70" spans="1:12" s="223" customFormat="1" x14ac:dyDescent="0.25">
      <c r="A70" s="222"/>
      <c r="B70" s="222"/>
      <c r="C70" s="222"/>
      <c r="D70" s="222"/>
      <c r="E70" s="222"/>
      <c r="F70" s="222"/>
      <c r="G70" s="222"/>
      <c r="H70" s="222"/>
      <c r="I70" s="222"/>
      <c r="J70" s="222"/>
      <c r="K70" s="222"/>
      <c r="L70" s="222"/>
    </row>
    <row r="71" spans="1:12" s="223" customFormat="1" x14ac:dyDescent="0.25">
      <c r="A71" s="222"/>
      <c r="B71" s="222"/>
      <c r="C71" s="222"/>
      <c r="D71" s="222"/>
      <c r="E71" s="222"/>
      <c r="F71" s="222"/>
      <c r="G71" s="222"/>
      <c r="H71" s="222"/>
      <c r="I71" s="222"/>
      <c r="J71" s="222"/>
      <c r="K71" s="222"/>
      <c r="L71" s="222"/>
    </row>
    <row r="72" spans="1:12" s="223" customFormat="1" x14ac:dyDescent="0.25">
      <c r="A72" s="222"/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</row>
    <row r="73" spans="1:12" s="223" customFormat="1" x14ac:dyDescent="0.25">
      <c r="A73" s="222"/>
      <c r="B73" s="222"/>
      <c r="C73" s="222"/>
      <c r="D73" s="222"/>
      <c r="E73" s="222"/>
      <c r="F73" s="222"/>
      <c r="G73" s="222"/>
      <c r="H73" s="222"/>
      <c r="I73" s="222"/>
      <c r="J73" s="222"/>
      <c r="K73" s="222"/>
      <c r="L73" s="222"/>
    </row>
    <row r="74" spans="1:12" s="223" customFormat="1" x14ac:dyDescent="0.25">
      <c r="A74" s="222"/>
      <c r="B74" s="222"/>
      <c r="C74" s="222"/>
      <c r="D74" s="222"/>
      <c r="E74" s="222"/>
      <c r="F74" s="222"/>
      <c r="G74" s="222"/>
      <c r="H74" s="222"/>
      <c r="I74" s="222"/>
      <c r="J74" s="222"/>
      <c r="K74" s="222"/>
      <c r="L74" s="222"/>
    </row>
    <row r="75" spans="1:12" s="223" customFormat="1" x14ac:dyDescent="0.25">
      <c r="A75" s="222"/>
      <c r="B75" s="222"/>
      <c r="C75" s="222"/>
      <c r="D75" s="222"/>
      <c r="E75" s="222"/>
      <c r="F75" s="222"/>
      <c r="G75" s="222"/>
      <c r="H75" s="222"/>
      <c r="I75" s="222"/>
      <c r="J75" s="260"/>
      <c r="K75" s="222"/>
      <c r="L75" s="222"/>
    </row>
    <row r="76" spans="1:12" s="223" customFormat="1" x14ac:dyDescent="0.25">
      <c r="A76" s="222"/>
      <c r="B76" s="222"/>
      <c r="C76" s="222"/>
      <c r="D76" s="222"/>
      <c r="E76" s="222"/>
      <c r="F76" s="222"/>
      <c r="G76" s="260"/>
      <c r="H76" s="260"/>
      <c r="I76" s="260"/>
      <c r="J76" s="260"/>
      <c r="K76" s="222"/>
      <c r="L76" s="222"/>
    </row>
    <row r="77" spans="1:12" s="223" customFormat="1" x14ac:dyDescent="0.25">
      <c r="A77" s="222"/>
      <c r="B77" s="222"/>
      <c r="C77" s="222"/>
      <c r="D77" s="222"/>
      <c r="E77" s="222"/>
      <c r="F77" s="222"/>
      <c r="G77" s="260"/>
      <c r="H77" s="260"/>
      <c r="I77" s="260"/>
      <c r="J77" s="260"/>
      <c r="K77" s="222"/>
      <c r="L77" s="222"/>
    </row>
    <row r="78" spans="1:12" s="223" customFormat="1" x14ac:dyDescent="0.25">
      <c r="A78" s="222"/>
      <c r="B78" s="222"/>
      <c r="C78" s="222"/>
      <c r="D78" s="222"/>
      <c r="E78" s="222"/>
      <c r="F78" s="261"/>
      <c r="G78" s="260"/>
      <c r="H78" s="260"/>
      <c r="I78" s="260"/>
      <c r="J78" s="260"/>
      <c r="K78" s="222"/>
      <c r="L78" s="222"/>
    </row>
    <row r="79" spans="1:12" s="223" customFormat="1" x14ac:dyDescent="0.25">
      <c r="A79" s="222"/>
      <c r="B79" s="222"/>
      <c r="C79" s="222"/>
      <c r="D79" s="222"/>
      <c r="E79" s="222"/>
      <c r="F79" s="261"/>
      <c r="G79" s="260"/>
      <c r="H79" s="260"/>
      <c r="I79" s="260"/>
      <c r="J79" s="260"/>
      <c r="K79" s="222"/>
      <c r="L79" s="222"/>
    </row>
    <row r="80" spans="1:12" s="223" customFormat="1" x14ac:dyDescent="0.25">
      <c r="A80" s="222"/>
      <c r="B80" s="222"/>
      <c r="C80" s="222"/>
      <c r="D80" s="222"/>
      <c r="E80" s="222"/>
      <c r="F80" s="261"/>
      <c r="G80" s="260"/>
      <c r="H80" s="260"/>
      <c r="I80" s="260"/>
      <c r="J80" s="260"/>
      <c r="K80" s="222"/>
      <c r="L80" s="222"/>
    </row>
    <row r="81" spans="1:5" x14ac:dyDescent="0.25">
      <c r="A81" s="222"/>
      <c r="B81" s="222"/>
      <c r="C81" s="222"/>
      <c r="D81" s="222"/>
      <c r="E81" s="222"/>
    </row>
    <row r="82" spans="1:5" x14ac:dyDescent="0.25">
      <c r="A82" s="222"/>
      <c r="B82" s="222"/>
      <c r="C82" s="222"/>
      <c r="D82" s="222"/>
      <c r="E82" s="222"/>
    </row>
    <row r="83" spans="1:5" x14ac:dyDescent="0.25">
      <c r="A83" s="222"/>
      <c r="B83" s="222"/>
      <c r="C83" s="222"/>
      <c r="D83" s="222"/>
      <c r="E83" s="222"/>
    </row>
    <row r="84" spans="1:5" x14ac:dyDescent="0.25">
      <c r="A84" s="222"/>
      <c r="B84" s="222"/>
      <c r="C84" s="222"/>
      <c r="D84" s="222"/>
      <c r="E84" s="222"/>
    </row>
    <row r="85" spans="1:5" x14ac:dyDescent="0.25">
      <c r="A85" s="222"/>
      <c r="B85" s="222"/>
      <c r="C85" s="222"/>
      <c r="D85" s="222"/>
      <c r="E85" s="222"/>
    </row>
  </sheetData>
  <sheetProtection algorithmName="SHA-512" hashValue="AT4bu3/se0W4Jv+oxT2FNbQUMxQL8fx0l59H66Z/4BKcD6Np4q3Tnsrox/q8urzSHIOULovBNBXPkLqLabHnfQ==" saltValue="B7+VUibKqSjiJiAUpatKaA==" spinCount="100000" sheet="1" objects="1" scenarios="1"/>
  <mergeCells count="75">
    <mergeCell ref="F28:K28"/>
    <mergeCell ref="A24:A27"/>
    <mergeCell ref="F22:F27"/>
    <mergeCell ref="J35:J36"/>
    <mergeCell ref="A39:D39"/>
    <mergeCell ref="G37:J37"/>
    <mergeCell ref="G26:I26"/>
    <mergeCell ref="G27:I27"/>
    <mergeCell ref="G23:I23"/>
    <mergeCell ref="F1:K1"/>
    <mergeCell ref="A1:E1"/>
    <mergeCell ref="F38:K38"/>
    <mergeCell ref="A28:E28"/>
    <mergeCell ref="F39:F42"/>
    <mergeCell ref="G39:H39"/>
    <mergeCell ref="G40:H40"/>
    <mergeCell ref="G41:H41"/>
    <mergeCell ref="G42:J42"/>
    <mergeCell ref="B41:D41"/>
    <mergeCell ref="B42:D42"/>
    <mergeCell ref="A41:A44"/>
    <mergeCell ref="B43:D43"/>
    <mergeCell ref="G24:I24"/>
    <mergeCell ref="G25:I25"/>
    <mergeCell ref="A16:B22"/>
    <mergeCell ref="A45:D45"/>
    <mergeCell ref="K33:K34"/>
    <mergeCell ref="G34:I34"/>
    <mergeCell ref="G35:I36"/>
    <mergeCell ref="K35:K36"/>
    <mergeCell ref="B38:D38"/>
    <mergeCell ref="F29:F37"/>
    <mergeCell ref="G29:I29"/>
    <mergeCell ref="G30:I30"/>
    <mergeCell ref="G31:I31"/>
    <mergeCell ref="G32:I32"/>
    <mergeCell ref="G33:I33"/>
    <mergeCell ref="A29:A38"/>
    <mergeCell ref="C21:D21"/>
    <mergeCell ref="G19:I19"/>
    <mergeCell ref="C22:D22"/>
    <mergeCell ref="G20:J20"/>
    <mergeCell ref="G22:I22"/>
    <mergeCell ref="F16:F20"/>
    <mergeCell ref="G16:I16"/>
    <mergeCell ref="C18:D18"/>
    <mergeCell ref="G17:I17"/>
    <mergeCell ref="C19:D19"/>
    <mergeCell ref="G18:I18"/>
    <mergeCell ref="C20:D20"/>
    <mergeCell ref="K18:K19"/>
    <mergeCell ref="K5:K6"/>
    <mergeCell ref="A11:K11"/>
    <mergeCell ref="A12:E14"/>
    <mergeCell ref="F12:F15"/>
    <mergeCell ref="G12:K14"/>
    <mergeCell ref="A15:D15"/>
    <mergeCell ref="G15:I15"/>
    <mergeCell ref="C17:D17"/>
    <mergeCell ref="C16:D16"/>
    <mergeCell ref="A2:E3"/>
    <mergeCell ref="F2:K3"/>
    <mergeCell ref="A4:A6"/>
    <mergeCell ref="B4:B6"/>
    <mergeCell ref="C4:C6"/>
    <mergeCell ref="D4:D6"/>
    <mergeCell ref="E4:E6"/>
    <mergeCell ref="F4:G4"/>
    <mergeCell ref="H4:I4"/>
    <mergeCell ref="J4:K4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scale="22" orientation="landscape" r:id="rId1"/>
  <ignoredErrors>
    <ignoredError sqref="K42 J26 J19 E41:E43 C8:C10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K85"/>
  <sheetViews>
    <sheetView workbookViewId="0">
      <selection activeCell="G19" sqref="G19:I19"/>
    </sheetView>
  </sheetViews>
  <sheetFormatPr defaultColWidth="9.140625" defaultRowHeight="21" x14ac:dyDescent="0.25"/>
  <cols>
    <col min="1" max="1" width="20.42578125" style="260" customWidth="1"/>
    <col min="2" max="2" width="22.7109375" style="260" customWidth="1"/>
    <col min="3" max="3" width="17.140625" style="260" customWidth="1"/>
    <col min="4" max="4" width="15" style="260" customWidth="1"/>
    <col min="5" max="5" width="15.7109375" style="260" bestFit="1" customWidth="1"/>
    <col min="6" max="6" width="16.5703125" style="261" customWidth="1"/>
    <col min="7" max="7" width="16.7109375" style="260" customWidth="1"/>
    <col min="8" max="8" width="15" style="260" customWidth="1"/>
    <col min="9" max="9" width="17.28515625" style="260" customWidth="1"/>
    <col min="10" max="10" width="13.28515625" style="260" customWidth="1"/>
    <col min="11" max="11" width="15.28515625" style="222" customWidth="1"/>
    <col min="12" max="12" width="15.7109375" style="222" customWidth="1"/>
    <col min="13" max="13" width="14.140625" style="260" customWidth="1"/>
    <col min="14" max="14" width="19.140625" style="222" customWidth="1"/>
    <col min="15" max="15" width="14.7109375" style="222" customWidth="1"/>
    <col min="16" max="16" width="13.28515625" style="222" customWidth="1"/>
    <col min="17" max="17" width="13" style="222" customWidth="1"/>
    <col min="18" max="18" width="15.28515625" style="222" customWidth="1"/>
    <col min="19" max="19" width="32.85546875" style="222" customWidth="1"/>
    <col min="20" max="20" width="3.7109375" style="222" customWidth="1"/>
    <col min="21" max="21" width="95" style="223" customWidth="1"/>
    <col min="22" max="22" width="3.7109375" style="223" customWidth="1"/>
    <col min="23" max="63" width="9.140625" style="223"/>
    <col min="64" max="16384" width="9.140625" style="32"/>
  </cols>
  <sheetData>
    <row r="1" spans="1:63" ht="26.25" x14ac:dyDescent="0.25">
      <c r="A1" s="566" t="s">
        <v>200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275"/>
      <c r="M1" s="275"/>
      <c r="N1" s="275"/>
      <c r="O1" s="275"/>
      <c r="P1" s="275"/>
      <c r="Q1" s="275"/>
    </row>
    <row r="2" spans="1:63" ht="26.25" x14ac:dyDescent="0.25">
      <c r="A2" s="451" t="s">
        <v>145</v>
      </c>
      <c r="B2" s="451"/>
      <c r="C2" s="451"/>
      <c r="D2" s="451"/>
      <c r="E2" s="451"/>
      <c r="F2" s="452" t="s">
        <v>146</v>
      </c>
      <c r="G2" s="452"/>
      <c r="H2" s="452"/>
      <c r="I2" s="452"/>
      <c r="J2" s="452"/>
      <c r="K2" s="452"/>
      <c r="L2" s="224"/>
      <c r="M2" s="222"/>
    </row>
    <row r="3" spans="1:63" x14ac:dyDescent="0.25">
      <c r="A3" s="451"/>
      <c r="B3" s="451"/>
      <c r="C3" s="451"/>
      <c r="D3" s="451"/>
      <c r="E3" s="451"/>
      <c r="F3" s="452"/>
      <c r="G3" s="452"/>
      <c r="H3" s="452"/>
      <c r="I3" s="452"/>
      <c r="J3" s="452"/>
      <c r="K3" s="452"/>
      <c r="L3" s="225"/>
      <c r="M3" s="222"/>
      <c r="P3" s="223"/>
      <c r="Q3" s="223"/>
      <c r="R3" s="223"/>
      <c r="S3" s="223"/>
      <c r="T3" s="223"/>
      <c r="BG3" s="32"/>
      <c r="BH3" s="32"/>
      <c r="BI3" s="32"/>
      <c r="BJ3" s="32"/>
      <c r="BK3" s="32"/>
    </row>
    <row r="4" spans="1:63" s="226" customFormat="1" x14ac:dyDescent="0.25">
      <c r="A4" s="453" t="s">
        <v>135</v>
      </c>
      <c r="B4" s="455" t="s">
        <v>136</v>
      </c>
      <c r="C4" s="455" t="s">
        <v>104</v>
      </c>
      <c r="D4" s="455" t="s">
        <v>152</v>
      </c>
      <c r="E4" s="455" t="s">
        <v>137</v>
      </c>
      <c r="F4" s="458" t="s">
        <v>147</v>
      </c>
      <c r="G4" s="458"/>
      <c r="H4" s="458" t="s">
        <v>141</v>
      </c>
      <c r="I4" s="458"/>
      <c r="J4" s="458" t="s">
        <v>138</v>
      </c>
      <c r="K4" s="458"/>
      <c r="L4" s="223"/>
      <c r="M4" s="222"/>
      <c r="N4" s="222"/>
      <c r="O4" s="222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</row>
    <row r="5" spans="1:63" s="226" customFormat="1" x14ac:dyDescent="0.25">
      <c r="A5" s="453"/>
      <c r="B5" s="456"/>
      <c r="C5" s="456"/>
      <c r="D5" s="456"/>
      <c r="E5" s="456"/>
      <c r="F5" s="459" t="s">
        <v>148</v>
      </c>
      <c r="G5" s="459" t="s">
        <v>149</v>
      </c>
      <c r="H5" s="461" t="s">
        <v>142</v>
      </c>
      <c r="I5" s="461" t="s">
        <v>143</v>
      </c>
      <c r="J5" s="461" t="s">
        <v>139</v>
      </c>
      <c r="K5" s="461" t="s">
        <v>140</v>
      </c>
      <c r="L5" s="223"/>
      <c r="M5" s="222"/>
      <c r="N5" s="222"/>
      <c r="O5" s="222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3"/>
      <c r="AS5" s="223"/>
      <c r="AT5" s="223"/>
      <c r="AU5" s="223"/>
      <c r="AV5" s="223"/>
      <c r="AW5" s="223"/>
      <c r="AX5" s="223"/>
      <c r="AY5" s="223"/>
      <c r="AZ5" s="223"/>
      <c r="BA5" s="223"/>
      <c r="BB5" s="223"/>
      <c r="BC5" s="223"/>
      <c r="BD5" s="223"/>
      <c r="BE5" s="223"/>
    </row>
    <row r="6" spans="1:63" s="226" customFormat="1" x14ac:dyDescent="0.25">
      <c r="A6" s="454"/>
      <c r="B6" s="457"/>
      <c r="C6" s="456"/>
      <c r="D6" s="456"/>
      <c r="E6" s="456"/>
      <c r="F6" s="460"/>
      <c r="G6" s="460"/>
      <c r="H6" s="461"/>
      <c r="I6" s="461"/>
      <c r="J6" s="461"/>
      <c r="K6" s="461"/>
      <c r="L6" s="223"/>
      <c r="M6" s="222"/>
      <c r="N6" s="222"/>
      <c r="O6" s="222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3"/>
      <c r="AT6" s="223"/>
      <c r="AU6" s="223"/>
      <c r="AV6" s="223"/>
      <c r="AW6" s="223"/>
      <c r="AX6" s="223"/>
      <c r="AY6" s="223"/>
      <c r="AZ6" s="223"/>
      <c r="BA6" s="223"/>
      <c r="BB6" s="223"/>
      <c r="BC6" s="223"/>
      <c r="BD6" s="223"/>
      <c r="BE6" s="223"/>
    </row>
    <row r="7" spans="1:63" s="226" customFormat="1" x14ac:dyDescent="0.25">
      <c r="A7" s="227" t="s">
        <v>121</v>
      </c>
      <c r="B7" s="282">
        <v>1</v>
      </c>
      <c r="C7" s="283">
        <v>6000</v>
      </c>
      <c r="D7" s="283"/>
      <c r="E7" s="54" t="str">
        <f>IF(D7&gt;0,C7*D7,"")</f>
        <v/>
      </c>
      <c r="F7" s="55">
        <f>E39+K43</f>
        <v>10078</v>
      </c>
      <c r="G7" s="55">
        <f>F7-E$44</f>
        <v>9346.4</v>
      </c>
      <c r="H7" s="56" t="str">
        <f>IF(D7="","",E7-F7)</f>
        <v/>
      </c>
      <c r="I7" s="56" t="str">
        <f>IF(H7="","",H7+E$44)</f>
        <v/>
      </c>
      <c r="J7" s="57">
        <f>F7/C7</f>
        <v>1.6796666666666666</v>
      </c>
      <c r="K7" s="57">
        <f>G7/C7</f>
        <v>1.5577333333333332</v>
      </c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</row>
    <row r="8" spans="1:63" s="226" customFormat="1" ht="21" customHeight="1" x14ac:dyDescent="0.25">
      <c r="A8" s="562" t="s">
        <v>154</v>
      </c>
      <c r="B8" s="282" t="s">
        <v>159</v>
      </c>
      <c r="C8" s="283">
        <v>1400</v>
      </c>
      <c r="D8" s="283">
        <v>11.5</v>
      </c>
      <c r="E8" s="564">
        <f>IF(D9&gt;0,C9*D9,"")+IF(D8&gt;0,C8*D8,"")</f>
        <v>16980</v>
      </c>
      <c r="F8" s="568">
        <f>F7+K21</f>
        <v>11428</v>
      </c>
      <c r="G8" s="568">
        <f>F8-E$44</f>
        <v>10696.4</v>
      </c>
      <c r="H8" s="570">
        <f>IF(D9="","",E8-F8)</f>
        <v>5552</v>
      </c>
      <c r="I8" s="570">
        <f>IF(H8="","",H8+E$44)</f>
        <v>6283.6</v>
      </c>
      <c r="J8" s="57"/>
      <c r="K8" s="57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</row>
    <row r="9" spans="1:63" s="226" customFormat="1" x14ac:dyDescent="0.25">
      <c r="A9" s="563"/>
      <c r="B9" s="284" t="s">
        <v>194</v>
      </c>
      <c r="C9" s="283">
        <v>800</v>
      </c>
      <c r="D9" s="285">
        <v>1.1000000000000001</v>
      </c>
      <c r="E9" s="565"/>
      <c r="F9" s="569"/>
      <c r="G9" s="569"/>
      <c r="H9" s="571"/>
      <c r="I9" s="571"/>
      <c r="J9" s="57"/>
      <c r="K9" s="57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223"/>
      <c r="AS9" s="223"/>
      <c r="AT9" s="223"/>
      <c r="AU9" s="223"/>
      <c r="AV9" s="223"/>
      <c r="AW9" s="223"/>
      <c r="AX9" s="223"/>
      <c r="AY9" s="223"/>
      <c r="AZ9" s="223"/>
      <c r="BA9" s="223"/>
      <c r="BB9" s="223"/>
      <c r="BC9" s="223"/>
      <c r="BD9" s="223"/>
      <c r="BE9" s="223"/>
    </row>
    <row r="10" spans="1:63" s="226" customFormat="1" x14ac:dyDescent="0.25">
      <c r="A10" s="227" t="s">
        <v>124</v>
      </c>
      <c r="B10" s="286">
        <v>0.91</v>
      </c>
      <c r="C10" s="283">
        <f>C$7*B10</f>
        <v>5460</v>
      </c>
      <c r="D10" s="287">
        <v>4</v>
      </c>
      <c r="E10" s="58">
        <f t="shared" ref="E10:E11" si="0">IF(D10&gt;0,C10*D10,"")</f>
        <v>21840</v>
      </c>
      <c r="F10" s="60">
        <f>F7+K28-K43</f>
        <v>15780.68</v>
      </c>
      <c r="G10" s="55">
        <f>F10-E$44</f>
        <v>15049.08</v>
      </c>
      <c r="H10" s="56">
        <f>IF(D10="","",E10-F10)</f>
        <v>6059.32</v>
      </c>
      <c r="I10" s="56">
        <f>IF(H10="","",H10+E$44)</f>
        <v>6790.92</v>
      </c>
      <c r="J10" s="57">
        <f>F10/C10</f>
        <v>2.8902344322344322</v>
      </c>
      <c r="K10" s="57">
        <f>G10/C10</f>
        <v>2.7562417582417584</v>
      </c>
      <c r="L10" s="222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  <c r="AL10" s="223"/>
      <c r="AM10" s="223"/>
      <c r="AN10" s="223"/>
      <c r="AO10" s="223"/>
      <c r="AP10" s="223"/>
      <c r="AQ10" s="223"/>
      <c r="AR10" s="223"/>
      <c r="AS10" s="223"/>
      <c r="AT10" s="223"/>
      <c r="AU10" s="223"/>
      <c r="AV10" s="223"/>
      <c r="AW10" s="223"/>
      <c r="AX10" s="223"/>
      <c r="AY10" s="223"/>
      <c r="AZ10" s="223"/>
      <c r="BA10" s="223"/>
      <c r="BB10" s="223"/>
      <c r="BC10" s="223"/>
      <c r="BD10" s="223"/>
      <c r="BE10" s="223"/>
    </row>
    <row r="11" spans="1:63" s="226" customFormat="1" x14ac:dyDescent="0.25">
      <c r="A11" s="227" t="s">
        <v>82</v>
      </c>
      <c r="B11" s="286">
        <v>0.875</v>
      </c>
      <c r="C11" s="283">
        <f>C$7*B11</f>
        <v>5250</v>
      </c>
      <c r="D11" s="287">
        <v>3.8</v>
      </c>
      <c r="E11" s="58">
        <f t="shared" si="0"/>
        <v>19950</v>
      </c>
      <c r="F11" s="60">
        <f>F7+K38-K43</f>
        <v>13230.125</v>
      </c>
      <c r="G11" s="55">
        <f>F11-E$44</f>
        <v>12498.525</v>
      </c>
      <c r="H11" s="56">
        <f>IF(D11="","",E11-F11)</f>
        <v>6719.875</v>
      </c>
      <c r="I11" s="56">
        <f>IF(H11="","",H11+E$44)</f>
        <v>7451.4750000000004</v>
      </c>
      <c r="J11" s="57">
        <f>F11/C11</f>
        <v>2.5200238095238094</v>
      </c>
      <c r="K11" s="57">
        <f>G11/C11</f>
        <v>2.3806714285714285</v>
      </c>
      <c r="L11" s="222"/>
      <c r="M11" s="222"/>
      <c r="N11" s="222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</row>
    <row r="12" spans="1:63" s="226" customFormat="1" ht="21.75" thickBot="1" x14ac:dyDescent="0.3">
      <c r="A12" s="462"/>
      <c r="B12" s="462"/>
      <c r="C12" s="462"/>
      <c r="D12" s="462"/>
      <c r="E12" s="462"/>
      <c r="F12" s="462"/>
      <c r="G12" s="462"/>
      <c r="H12" s="462"/>
      <c r="I12" s="462"/>
      <c r="J12" s="462"/>
      <c r="K12" s="462"/>
      <c r="L12" s="89"/>
      <c r="M12" s="222"/>
      <c r="N12" s="222"/>
      <c r="O12" s="222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  <c r="AY12" s="223"/>
      <c r="AZ12" s="223"/>
      <c r="BA12" s="223"/>
      <c r="BB12" s="223"/>
      <c r="BC12" s="223"/>
      <c r="BD12" s="223"/>
      <c r="BE12" s="223"/>
      <c r="BF12" s="223"/>
    </row>
    <row r="13" spans="1:63" s="226" customFormat="1" x14ac:dyDescent="0.25">
      <c r="A13" s="463" t="s">
        <v>144</v>
      </c>
      <c r="B13" s="463"/>
      <c r="C13" s="463"/>
      <c r="D13" s="463"/>
      <c r="E13" s="464"/>
      <c r="F13" s="469" t="s">
        <v>192</v>
      </c>
      <c r="G13" s="472" t="s">
        <v>150</v>
      </c>
      <c r="H13" s="473"/>
      <c r="I13" s="473"/>
      <c r="J13" s="473"/>
      <c r="K13" s="473"/>
      <c r="L13" s="89"/>
      <c r="M13" s="222"/>
      <c r="N13" s="222"/>
      <c r="O13" s="222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3"/>
      <c r="AN13" s="223"/>
      <c r="AO13" s="223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3"/>
      <c r="BE13" s="223"/>
      <c r="BF13" s="223"/>
    </row>
    <row r="14" spans="1:63" s="226" customFormat="1" x14ac:dyDescent="0.25">
      <c r="A14" s="465"/>
      <c r="B14" s="465"/>
      <c r="C14" s="465"/>
      <c r="D14" s="465"/>
      <c r="E14" s="466"/>
      <c r="F14" s="470"/>
      <c r="G14" s="472"/>
      <c r="H14" s="473"/>
      <c r="I14" s="473"/>
      <c r="J14" s="473"/>
      <c r="K14" s="473"/>
      <c r="L14" s="228"/>
      <c r="M14" s="228"/>
      <c r="N14" s="229"/>
      <c r="O14" s="229"/>
      <c r="P14" s="229"/>
      <c r="Q14" s="229"/>
      <c r="R14" s="222"/>
      <c r="S14" s="222"/>
      <c r="T14" s="222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23"/>
      <c r="AZ14" s="223"/>
      <c r="BA14" s="223"/>
      <c r="BB14" s="223"/>
      <c r="BC14" s="223"/>
      <c r="BD14" s="223"/>
      <c r="BE14" s="223"/>
      <c r="BF14" s="223"/>
      <c r="BG14" s="223"/>
      <c r="BH14" s="223"/>
      <c r="BI14" s="223"/>
      <c r="BJ14" s="223"/>
      <c r="BK14" s="223"/>
    </row>
    <row r="15" spans="1:63" s="226" customFormat="1" x14ac:dyDescent="0.25">
      <c r="A15" s="467"/>
      <c r="B15" s="467"/>
      <c r="C15" s="467"/>
      <c r="D15" s="467"/>
      <c r="E15" s="468"/>
      <c r="F15" s="470"/>
      <c r="G15" s="474"/>
      <c r="H15" s="475"/>
      <c r="I15" s="475"/>
      <c r="J15" s="475"/>
      <c r="K15" s="475"/>
      <c r="L15" s="229"/>
      <c r="M15" s="229"/>
      <c r="N15" s="229"/>
      <c r="O15" s="229"/>
      <c r="P15" s="222"/>
      <c r="Q15" s="222"/>
      <c r="R15" s="222"/>
      <c r="S15" s="222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  <c r="AO15" s="223"/>
      <c r="AP15" s="223"/>
      <c r="AQ15" s="223"/>
      <c r="AR15" s="223"/>
      <c r="AS15" s="223"/>
      <c r="AT15" s="223"/>
      <c r="AU15" s="223"/>
      <c r="AV15" s="223"/>
      <c r="AW15" s="223"/>
      <c r="AX15" s="223"/>
      <c r="AY15" s="223"/>
      <c r="AZ15" s="223"/>
      <c r="BA15" s="223"/>
      <c r="BB15" s="223"/>
      <c r="BC15" s="223"/>
      <c r="BD15" s="223"/>
      <c r="BE15" s="223"/>
      <c r="BF15" s="223"/>
      <c r="BG15" s="223"/>
      <c r="BH15" s="223"/>
      <c r="BI15" s="223"/>
    </row>
    <row r="16" spans="1:63" s="226" customFormat="1" ht="21.75" thickBot="1" x14ac:dyDescent="0.3">
      <c r="A16" s="476" t="s">
        <v>108</v>
      </c>
      <c r="B16" s="477"/>
      <c r="C16" s="477"/>
      <c r="D16" s="478"/>
      <c r="E16" s="91">
        <v>2000</v>
      </c>
      <c r="F16" s="471"/>
      <c r="G16" s="479" t="s">
        <v>122</v>
      </c>
      <c r="H16" s="480"/>
      <c r="I16" s="480"/>
      <c r="J16" s="230" t="s">
        <v>123</v>
      </c>
      <c r="K16" s="221" t="s">
        <v>0</v>
      </c>
      <c r="L16" s="229"/>
      <c r="M16" s="229"/>
      <c r="N16" s="229"/>
      <c r="O16" s="231"/>
      <c r="P16" s="222"/>
      <c r="Q16" s="222"/>
      <c r="R16" s="222"/>
      <c r="S16" s="222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223"/>
      <c r="AS16" s="223"/>
      <c r="AT16" s="223"/>
      <c r="AU16" s="223"/>
      <c r="AV16" s="223"/>
      <c r="AW16" s="223"/>
      <c r="AX16" s="223"/>
      <c r="AY16" s="223"/>
      <c r="AZ16" s="223"/>
      <c r="BA16" s="223"/>
      <c r="BB16" s="223"/>
      <c r="BC16" s="223"/>
      <c r="BD16" s="223"/>
      <c r="BE16" s="223"/>
      <c r="BF16" s="223"/>
      <c r="BG16" s="223"/>
      <c r="BH16" s="223"/>
      <c r="BI16" s="223"/>
    </row>
    <row r="17" spans="1:63" s="226" customFormat="1" x14ac:dyDescent="0.25">
      <c r="A17" s="483" t="s">
        <v>99</v>
      </c>
      <c r="B17" s="484"/>
      <c r="C17" s="489" t="s">
        <v>110</v>
      </c>
      <c r="D17" s="489"/>
      <c r="E17" s="232" t="s">
        <v>109</v>
      </c>
      <c r="F17" s="490" t="s">
        <v>188</v>
      </c>
      <c r="G17" s="480" t="s">
        <v>215</v>
      </c>
      <c r="H17" s="480"/>
      <c r="I17" s="480"/>
      <c r="J17" s="221">
        <f>VLOOKUP(G17,'FİYAT LİSTESİ'!B:D,3,0)</f>
        <v>1375</v>
      </c>
      <c r="K17" s="114">
        <f>ROUNDUP(C9*J17/1000,0)</f>
        <v>1100</v>
      </c>
      <c r="L17" s="229"/>
      <c r="M17" s="229"/>
      <c r="N17" s="229"/>
      <c r="O17" s="223"/>
      <c r="P17" s="223"/>
      <c r="Q17" s="223"/>
      <c r="R17" s="223"/>
      <c r="S17" s="223"/>
      <c r="T17" s="222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223"/>
      <c r="AO17" s="223"/>
      <c r="AP17" s="223"/>
      <c r="AQ17" s="223"/>
      <c r="AR17" s="223"/>
      <c r="AS17" s="223"/>
      <c r="AT17" s="223"/>
      <c r="AU17" s="223"/>
      <c r="AV17" s="223"/>
      <c r="AW17" s="223"/>
      <c r="AX17" s="223"/>
      <c r="AY17" s="223"/>
      <c r="AZ17" s="223"/>
      <c r="BA17" s="223"/>
      <c r="BB17" s="223"/>
      <c r="BC17" s="223"/>
      <c r="BD17" s="223"/>
      <c r="BE17" s="223"/>
      <c r="BF17" s="223"/>
      <c r="BG17" s="223"/>
      <c r="BH17" s="223"/>
      <c r="BI17" s="223"/>
      <c r="BJ17" s="223"/>
    </row>
    <row r="18" spans="1:63" s="226" customFormat="1" x14ac:dyDescent="0.25">
      <c r="A18" s="485"/>
      <c r="B18" s="486"/>
      <c r="C18" s="492" t="s">
        <v>100</v>
      </c>
      <c r="D18" s="492"/>
      <c r="E18" s="59">
        <f>VLOOKUP(C18,'FİYAT LİSTESİ'!B:D,3,0)</f>
        <v>375</v>
      </c>
      <c r="F18" s="491"/>
      <c r="G18" s="493" t="s">
        <v>161</v>
      </c>
      <c r="H18" s="493"/>
      <c r="I18" s="493"/>
      <c r="J18" s="221">
        <f>VLOOKUP(G18,'FİYAT LİSTESİ'!B:D,3,0)</f>
        <v>150</v>
      </c>
      <c r="K18" s="115">
        <f>J18</f>
        <v>150</v>
      </c>
      <c r="L18" s="229"/>
      <c r="M18" s="229"/>
      <c r="N18" s="229"/>
      <c r="O18" s="223"/>
      <c r="P18" s="223"/>
      <c r="Q18" s="223"/>
      <c r="R18" s="223"/>
      <c r="S18" s="223"/>
      <c r="T18" s="222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23"/>
      <c r="AN18" s="223"/>
      <c r="AO18" s="223"/>
      <c r="AP18" s="223"/>
      <c r="AQ18" s="223"/>
      <c r="AR18" s="223"/>
      <c r="AS18" s="223"/>
      <c r="AT18" s="223"/>
      <c r="AU18" s="223"/>
      <c r="AV18" s="223"/>
      <c r="AW18" s="223"/>
      <c r="AX18" s="223"/>
      <c r="AY18" s="223"/>
      <c r="AZ18" s="223"/>
      <c r="BA18" s="223"/>
      <c r="BB18" s="223"/>
      <c r="BC18" s="223"/>
      <c r="BD18" s="223"/>
      <c r="BE18" s="223"/>
      <c r="BF18" s="223"/>
      <c r="BG18" s="223"/>
      <c r="BH18" s="223"/>
      <c r="BI18" s="223"/>
      <c r="BJ18" s="223"/>
    </row>
    <row r="19" spans="1:63" s="226" customFormat="1" x14ac:dyDescent="0.25">
      <c r="A19" s="485"/>
      <c r="B19" s="486"/>
      <c r="C19" s="494" t="s">
        <v>101</v>
      </c>
      <c r="D19" s="494"/>
      <c r="E19" s="59">
        <f>VLOOKUP(C19,'FİYAT LİSTESİ'!B:D,3,0)</f>
        <v>305</v>
      </c>
      <c r="F19" s="491"/>
      <c r="G19" s="480" t="s">
        <v>162</v>
      </c>
      <c r="H19" s="480"/>
      <c r="I19" s="480"/>
      <c r="J19" s="221">
        <f>VLOOKUP(G19,'FİYAT LİSTESİ'!B:D,3,0)</f>
        <v>50</v>
      </c>
      <c r="K19" s="417">
        <f>J19*J20</f>
        <v>100</v>
      </c>
      <c r="L19" s="229"/>
      <c r="M19" s="229"/>
      <c r="N19" s="229"/>
      <c r="O19" s="223"/>
      <c r="P19" s="223"/>
      <c r="Q19" s="223"/>
      <c r="R19" s="223"/>
      <c r="S19" s="223"/>
      <c r="T19" s="222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  <c r="AL19" s="223"/>
      <c r="AM19" s="223"/>
      <c r="AN19" s="223"/>
      <c r="AO19" s="223"/>
      <c r="AP19" s="223"/>
      <c r="AQ19" s="223"/>
      <c r="AR19" s="223"/>
      <c r="AS19" s="223"/>
      <c r="AT19" s="223"/>
      <c r="AU19" s="223"/>
      <c r="AV19" s="223"/>
      <c r="AW19" s="223"/>
      <c r="AX19" s="223"/>
      <c r="AY19" s="223"/>
      <c r="AZ19" s="223"/>
      <c r="BA19" s="223"/>
      <c r="BB19" s="223"/>
      <c r="BC19" s="223"/>
      <c r="BD19" s="223"/>
      <c r="BE19" s="223"/>
      <c r="BF19" s="223"/>
      <c r="BG19" s="223"/>
      <c r="BH19" s="223"/>
      <c r="BI19" s="223"/>
      <c r="BJ19" s="223"/>
    </row>
    <row r="20" spans="1:63" s="226" customFormat="1" x14ac:dyDescent="0.25">
      <c r="A20" s="485"/>
      <c r="B20" s="486"/>
      <c r="C20" s="492" t="s">
        <v>102</v>
      </c>
      <c r="D20" s="492"/>
      <c r="E20" s="59">
        <f>VLOOKUP(C20,'FİYAT LİSTESİ'!B:D,3,0)</f>
        <v>165</v>
      </c>
      <c r="F20" s="491"/>
      <c r="G20" s="480" t="s">
        <v>118</v>
      </c>
      <c r="H20" s="480"/>
      <c r="I20" s="480"/>
      <c r="J20" s="221">
        <f>ROUNDUP(C9/600,0)</f>
        <v>2</v>
      </c>
      <c r="K20" s="418"/>
      <c r="L20" s="141"/>
      <c r="M20" s="233"/>
      <c r="N20" s="233"/>
      <c r="O20" s="223"/>
      <c r="P20" s="223"/>
      <c r="Q20" s="223"/>
      <c r="R20" s="223"/>
      <c r="S20" s="223"/>
      <c r="T20" s="222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  <c r="AY20" s="223"/>
      <c r="AZ20" s="223"/>
      <c r="BA20" s="223"/>
      <c r="BB20" s="223"/>
      <c r="BC20" s="223"/>
      <c r="BD20" s="223"/>
      <c r="BE20" s="223"/>
      <c r="BF20" s="223"/>
      <c r="BG20" s="223"/>
      <c r="BH20" s="223"/>
      <c r="BI20" s="223"/>
      <c r="BJ20" s="223"/>
    </row>
    <row r="21" spans="1:63" s="226" customFormat="1" x14ac:dyDescent="0.25">
      <c r="A21" s="487"/>
      <c r="B21" s="488"/>
      <c r="C21" s="495" t="s">
        <v>18</v>
      </c>
      <c r="D21" s="495"/>
      <c r="E21" s="61">
        <f>SUM(E18:E20)</f>
        <v>845</v>
      </c>
      <c r="F21" s="491"/>
      <c r="G21" s="480" t="s">
        <v>18</v>
      </c>
      <c r="H21" s="480"/>
      <c r="I21" s="480"/>
      <c r="J21" s="480"/>
      <c r="K21" s="114">
        <f>SUM(K17:K19)</f>
        <v>1350</v>
      </c>
      <c r="L21" s="141"/>
      <c r="M21" s="229"/>
      <c r="N21" s="229"/>
      <c r="O21" s="229"/>
      <c r="P21" s="229"/>
      <c r="Q21" s="234"/>
      <c r="R21" s="223"/>
      <c r="S21" s="222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23"/>
      <c r="AN21" s="223"/>
      <c r="AO21" s="223"/>
      <c r="AP21" s="223"/>
      <c r="AQ21" s="223"/>
      <c r="AR21" s="223"/>
      <c r="AS21" s="223"/>
      <c r="AT21" s="223"/>
      <c r="AU21" s="223"/>
      <c r="AV21" s="223"/>
      <c r="AW21" s="223"/>
      <c r="AX21" s="223"/>
      <c r="AY21" s="223"/>
      <c r="AZ21" s="223"/>
      <c r="BA21" s="223"/>
      <c r="BB21" s="223"/>
      <c r="BC21" s="223"/>
      <c r="BD21" s="223"/>
      <c r="BE21" s="223"/>
      <c r="BF21" s="223"/>
      <c r="BG21" s="223"/>
      <c r="BH21" s="223"/>
      <c r="BI21" s="223"/>
      <c r="BJ21" s="223"/>
    </row>
    <row r="22" spans="1:63" s="226" customFormat="1" ht="23.25" x14ac:dyDescent="0.25">
      <c r="A22" s="481"/>
      <c r="B22" s="482"/>
      <c r="C22" s="482"/>
      <c r="D22" s="482"/>
      <c r="E22" s="482"/>
      <c r="F22" s="482"/>
      <c r="G22" s="482"/>
      <c r="H22" s="482"/>
      <c r="I22" s="482"/>
      <c r="J22" s="482"/>
      <c r="K22" s="482"/>
      <c r="L22" s="229"/>
      <c r="M22" s="229"/>
      <c r="N22" s="231"/>
      <c r="O22" s="229"/>
      <c r="P22" s="229"/>
      <c r="Q22" s="234"/>
      <c r="R22" s="222"/>
      <c r="S22" s="222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  <c r="AR22" s="223"/>
      <c r="AS22" s="223"/>
      <c r="AT22" s="223"/>
      <c r="AU22" s="223"/>
      <c r="AV22" s="223"/>
      <c r="AW22" s="223"/>
      <c r="AX22" s="223"/>
      <c r="AY22" s="223"/>
      <c r="AZ22" s="223"/>
      <c r="BA22" s="223"/>
      <c r="BB22" s="223"/>
      <c r="BC22" s="223"/>
      <c r="BD22" s="223"/>
      <c r="BE22" s="223"/>
      <c r="BF22" s="223"/>
      <c r="BG22" s="223"/>
      <c r="BH22" s="223"/>
      <c r="BI22" s="223"/>
      <c r="BJ22" s="223"/>
    </row>
    <row r="23" spans="1:63" s="226" customFormat="1" ht="25.5" x14ac:dyDescent="0.25">
      <c r="A23" s="496" t="s">
        <v>103</v>
      </c>
      <c r="B23" s="235" t="s">
        <v>107</v>
      </c>
      <c r="C23" s="236" t="s">
        <v>223</v>
      </c>
      <c r="D23" s="237" t="s">
        <v>105</v>
      </c>
      <c r="E23" s="238" t="s">
        <v>0</v>
      </c>
      <c r="F23" s="498" t="s">
        <v>189</v>
      </c>
      <c r="G23" s="499" t="s">
        <v>125</v>
      </c>
      <c r="H23" s="499"/>
      <c r="I23" s="499"/>
      <c r="J23" s="66">
        <f>VLOOKUP(G23,'FİYAT LİSTESİ'!G:I,3,0)</f>
        <v>850</v>
      </c>
      <c r="K23" s="67">
        <f>J23</f>
        <v>850</v>
      </c>
      <c r="L23" s="239"/>
      <c r="M23" s="231"/>
      <c r="N23" s="229"/>
      <c r="O23" s="231"/>
      <c r="P23" s="234"/>
      <c r="Q23" s="222"/>
      <c r="R23" s="222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O23" s="223"/>
      <c r="AP23" s="223"/>
      <c r="AQ23" s="223"/>
      <c r="AR23" s="223"/>
      <c r="AS23" s="223"/>
      <c r="AT23" s="223"/>
      <c r="AU23" s="223"/>
      <c r="AV23" s="223"/>
      <c r="AW23" s="223"/>
      <c r="AX23" s="223"/>
      <c r="AY23" s="223"/>
      <c r="AZ23" s="223"/>
      <c r="BA23" s="223"/>
      <c r="BB23" s="223"/>
      <c r="BC23" s="223"/>
      <c r="BD23" s="223"/>
      <c r="BE23" s="223"/>
      <c r="BF23" s="223"/>
      <c r="BG23" s="223"/>
      <c r="BH23" s="223"/>
      <c r="BI23" s="223"/>
    </row>
    <row r="24" spans="1:63" s="226" customFormat="1" x14ac:dyDescent="0.25">
      <c r="A24" s="497"/>
      <c r="B24" s="240" t="s">
        <v>155</v>
      </c>
      <c r="C24" s="289">
        <v>10000</v>
      </c>
      <c r="D24" s="80">
        <f>VLOOKUP(B24,'FİYAT LİSTESİ'!B:D,3,0)</f>
        <v>5000</v>
      </c>
      <c r="E24" s="80">
        <f>C24*D24/50000</f>
        <v>1000</v>
      </c>
      <c r="F24" s="498"/>
      <c r="G24" s="500" t="s">
        <v>126</v>
      </c>
      <c r="H24" s="500"/>
      <c r="I24" s="500"/>
      <c r="J24" s="66">
        <f>VLOOKUP(G24,'FİYAT LİSTESİ'!G:I,3,0)</f>
        <v>700</v>
      </c>
      <c r="K24" s="67">
        <f>J24*C10/1000</f>
        <v>3822</v>
      </c>
      <c r="L24" s="229"/>
      <c r="M24" s="231"/>
      <c r="N24" s="239"/>
      <c r="O24" s="229"/>
      <c r="P24" s="229"/>
      <c r="Q24" s="231"/>
      <c r="R24" s="234"/>
      <c r="S24" s="222"/>
      <c r="T24" s="222"/>
      <c r="U24" s="222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  <c r="AL24" s="223"/>
      <c r="AM24" s="223"/>
      <c r="AN24" s="223"/>
      <c r="AO24" s="223"/>
      <c r="AP24" s="223"/>
      <c r="AQ24" s="223"/>
      <c r="AR24" s="223"/>
      <c r="AS24" s="223"/>
      <c r="AT24" s="223"/>
      <c r="AU24" s="223"/>
      <c r="AV24" s="223"/>
      <c r="AW24" s="223"/>
      <c r="AX24" s="223"/>
      <c r="AY24" s="223"/>
      <c r="AZ24" s="223"/>
      <c r="BA24" s="223"/>
      <c r="BB24" s="223"/>
      <c r="BC24" s="223"/>
      <c r="BD24" s="223"/>
      <c r="BE24" s="223"/>
      <c r="BF24" s="223"/>
      <c r="BG24" s="223"/>
      <c r="BH24" s="223"/>
      <c r="BI24" s="223"/>
      <c r="BJ24" s="223"/>
      <c r="BK24" s="223"/>
    </row>
    <row r="25" spans="1:63" s="226" customFormat="1" x14ac:dyDescent="0.25">
      <c r="A25" s="497"/>
      <c r="B25" s="241"/>
      <c r="C25" s="242"/>
      <c r="D25" s="62"/>
      <c r="E25" s="63"/>
      <c r="F25" s="498"/>
      <c r="G25" s="499" t="s">
        <v>257</v>
      </c>
      <c r="H25" s="499"/>
      <c r="I25" s="499"/>
      <c r="J25" s="66">
        <f>VLOOKUP(G25,'FİYAT LİSTESİ'!G:I,3,0)</f>
        <v>2900</v>
      </c>
      <c r="K25" s="67">
        <f>(C10/1000)*(J25/50)</f>
        <v>316.68</v>
      </c>
      <c r="L25" s="223"/>
      <c r="M25" s="223"/>
      <c r="N25" s="223"/>
      <c r="O25" s="229"/>
      <c r="P25" s="229"/>
      <c r="Q25" s="231"/>
      <c r="R25" s="234"/>
      <c r="S25" s="222"/>
      <c r="T25" s="222"/>
      <c r="U25" s="222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223"/>
      <c r="AH25" s="223"/>
      <c r="AI25" s="223"/>
      <c r="AJ25" s="223"/>
      <c r="AK25" s="223"/>
      <c r="AL25" s="223"/>
      <c r="AM25" s="223"/>
      <c r="AN25" s="223"/>
      <c r="AO25" s="223"/>
      <c r="AP25" s="223"/>
      <c r="AQ25" s="223"/>
      <c r="AR25" s="223"/>
      <c r="AS25" s="223"/>
      <c r="AT25" s="223"/>
      <c r="AU25" s="223"/>
      <c r="AV25" s="223"/>
      <c r="AW25" s="223"/>
      <c r="AX25" s="223"/>
      <c r="AY25" s="223"/>
      <c r="AZ25" s="223"/>
      <c r="BA25" s="223"/>
      <c r="BB25" s="223"/>
      <c r="BC25" s="223"/>
      <c r="BD25" s="223"/>
      <c r="BE25" s="223"/>
      <c r="BF25" s="223"/>
      <c r="BG25" s="223"/>
      <c r="BH25" s="223"/>
      <c r="BI25" s="223"/>
      <c r="BJ25" s="223"/>
      <c r="BK25" s="223"/>
    </row>
    <row r="26" spans="1:63" s="226" customFormat="1" ht="27" customHeight="1" x14ac:dyDescent="0.25">
      <c r="A26" s="497"/>
      <c r="B26" s="243" t="s">
        <v>18</v>
      </c>
      <c r="C26" s="244"/>
      <c r="D26" s="64"/>
      <c r="E26" s="65">
        <f>SUM(E24+E25)</f>
        <v>1000</v>
      </c>
      <c r="F26" s="498"/>
      <c r="G26" s="501" t="s">
        <v>190</v>
      </c>
      <c r="H26" s="502"/>
      <c r="I26" s="503"/>
      <c r="J26" s="66">
        <f>VLOOKUP(G26,'FİYAT LİSTESİ'!G:I,3,0)</f>
        <v>200</v>
      </c>
      <c r="K26" s="117">
        <f>J26*C10/1000</f>
        <v>1092</v>
      </c>
      <c r="L26" s="223"/>
      <c r="M26" s="223"/>
      <c r="N26" s="223"/>
      <c r="O26" s="229"/>
      <c r="P26" s="229"/>
      <c r="Q26" s="229"/>
      <c r="R26" s="222"/>
      <c r="S26" s="222"/>
      <c r="T26" s="222"/>
      <c r="U26" s="222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  <c r="AO26" s="223"/>
      <c r="AP26" s="223"/>
      <c r="AQ26" s="223"/>
      <c r="AR26" s="223"/>
      <c r="AS26" s="223"/>
      <c r="AT26" s="223"/>
      <c r="AU26" s="223"/>
      <c r="AV26" s="223"/>
      <c r="AW26" s="223"/>
      <c r="AX26" s="223"/>
      <c r="AY26" s="223"/>
      <c r="AZ26" s="223"/>
      <c r="BA26" s="223"/>
      <c r="BB26" s="223"/>
      <c r="BC26" s="223"/>
      <c r="BD26" s="223"/>
      <c r="BE26" s="223"/>
      <c r="BF26" s="223"/>
      <c r="BG26" s="223"/>
      <c r="BH26" s="223"/>
      <c r="BI26" s="223"/>
      <c r="BJ26" s="223"/>
      <c r="BK26" s="223"/>
    </row>
    <row r="27" spans="1:63" s="226" customFormat="1" ht="23.25" x14ac:dyDescent="0.25">
      <c r="A27" s="504"/>
      <c r="B27" s="504"/>
      <c r="C27" s="504"/>
      <c r="D27" s="504"/>
      <c r="E27" s="505"/>
      <c r="F27" s="498"/>
      <c r="G27" s="499" t="s">
        <v>127</v>
      </c>
      <c r="H27" s="499"/>
      <c r="I27" s="499"/>
      <c r="J27" s="147">
        <f>ROUNDUP(C7/1000,1)</f>
        <v>6</v>
      </c>
      <c r="K27" s="118"/>
      <c r="L27" s="223"/>
      <c r="M27" s="223"/>
      <c r="N27" s="223"/>
      <c r="O27" s="229"/>
      <c r="P27" s="229"/>
      <c r="Q27" s="229"/>
      <c r="R27" s="222"/>
      <c r="S27" s="222"/>
      <c r="T27" s="222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  <c r="AL27" s="223"/>
      <c r="AM27" s="223"/>
      <c r="AN27" s="223"/>
      <c r="AO27" s="223"/>
      <c r="AP27" s="223"/>
      <c r="AQ27" s="223"/>
      <c r="AR27" s="223"/>
      <c r="AS27" s="223"/>
      <c r="AT27" s="223"/>
      <c r="AU27" s="223"/>
      <c r="AV27" s="223"/>
      <c r="AW27" s="223"/>
      <c r="AX27" s="223"/>
      <c r="AY27" s="223"/>
      <c r="AZ27" s="223"/>
      <c r="BA27" s="223"/>
      <c r="BB27" s="223"/>
      <c r="BC27" s="223"/>
      <c r="BD27" s="223"/>
      <c r="BE27" s="223"/>
      <c r="BF27" s="223"/>
      <c r="BG27" s="223"/>
      <c r="BH27" s="223"/>
      <c r="BI27" s="223"/>
      <c r="BJ27" s="223"/>
      <c r="BK27" s="223"/>
    </row>
    <row r="28" spans="1:63" s="226" customFormat="1" ht="30" customHeight="1" x14ac:dyDescent="0.25">
      <c r="A28" s="506" t="s">
        <v>111</v>
      </c>
      <c r="B28" s="101" t="s">
        <v>110</v>
      </c>
      <c r="C28" s="245" t="s">
        <v>104</v>
      </c>
      <c r="D28" s="245" t="s">
        <v>105</v>
      </c>
      <c r="E28" s="245" t="s">
        <v>0</v>
      </c>
      <c r="F28" s="498"/>
      <c r="G28" s="501" t="s">
        <v>18</v>
      </c>
      <c r="H28" s="502"/>
      <c r="I28" s="503"/>
      <c r="J28" s="246"/>
      <c r="K28" s="67">
        <f>SUM(K23:K27)</f>
        <v>6080.68</v>
      </c>
      <c r="L28" s="223"/>
      <c r="M28" s="223"/>
      <c r="N28" s="223"/>
      <c r="O28" s="229"/>
      <c r="P28" s="229"/>
      <c r="Q28" s="229"/>
      <c r="R28" s="222"/>
      <c r="S28" s="222"/>
      <c r="T28" s="222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223"/>
      <c r="AS28" s="223"/>
      <c r="AT28" s="223"/>
      <c r="AU28" s="223"/>
      <c r="AV28" s="223"/>
      <c r="AW28" s="223"/>
      <c r="AX28" s="223"/>
      <c r="AY28" s="223"/>
      <c r="AZ28" s="223"/>
      <c r="BA28" s="223"/>
      <c r="BB28" s="223"/>
      <c r="BC28" s="223"/>
      <c r="BD28" s="223"/>
      <c r="BE28" s="223"/>
      <c r="BF28" s="223"/>
      <c r="BG28" s="223"/>
      <c r="BH28" s="223"/>
      <c r="BI28" s="223"/>
      <c r="BJ28" s="223"/>
      <c r="BK28" s="223"/>
    </row>
    <row r="29" spans="1:63" s="226" customFormat="1" ht="20.25" x14ac:dyDescent="0.25">
      <c r="A29" s="507"/>
      <c r="B29" s="217" t="s">
        <v>85</v>
      </c>
      <c r="C29" s="292">
        <v>30</v>
      </c>
      <c r="D29" s="103">
        <f>VLOOKUP(B29,'FİYAT LİSTESİ'!B:D,3,0)</f>
        <v>24</v>
      </c>
      <c r="E29" s="104">
        <f>D29*C29</f>
        <v>720</v>
      </c>
      <c r="F29" s="511"/>
      <c r="G29" s="512"/>
      <c r="H29" s="512"/>
      <c r="I29" s="512"/>
      <c r="J29" s="512"/>
      <c r="K29" s="513"/>
      <c r="L29" s="223"/>
      <c r="M29" s="223"/>
      <c r="N29" s="223"/>
      <c r="O29" s="229"/>
      <c r="P29" s="229"/>
      <c r="Q29" s="231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  <c r="AL29" s="223"/>
      <c r="AM29" s="223"/>
      <c r="AN29" s="223"/>
      <c r="AO29" s="223"/>
      <c r="AP29" s="223"/>
      <c r="AQ29" s="223"/>
      <c r="AR29" s="223"/>
      <c r="AS29" s="223"/>
      <c r="AT29" s="223"/>
      <c r="AU29" s="223"/>
      <c r="AV29" s="223"/>
      <c r="AW29" s="223"/>
      <c r="AX29" s="223"/>
      <c r="AY29" s="223"/>
      <c r="AZ29" s="223"/>
      <c r="BA29" s="223"/>
      <c r="BB29" s="223"/>
      <c r="BC29" s="223"/>
      <c r="BD29" s="223"/>
      <c r="BE29" s="223"/>
      <c r="BF29" s="223"/>
      <c r="BG29" s="223"/>
      <c r="BH29" s="223"/>
      <c r="BI29" s="223"/>
      <c r="BJ29" s="223"/>
      <c r="BK29" s="223"/>
    </row>
    <row r="30" spans="1:63" s="226" customFormat="1" ht="20.25" x14ac:dyDescent="0.25">
      <c r="A30" s="507"/>
      <c r="B30" s="247" t="s">
        <v>98</v>
      </c>
      <c r="C30" s="292">
        <v>40</v>
      </c>
      <c r="D30" s="103">
        <f>VLOOKUP(B30,'FİYAT LİSTESİ'!B:D,3,0)</f>
        <v>23</v>
      </c>
      <c r="E30" s="104">
        <f>D30*C30</f>
        <v>920</v>
      </c>
      <c r="F30" s="514" t="s">
        <v>128</v>
      </c>
      <c r="G30" s="515" t="s">
        <v>125</v>
      </c>
      <c r="H30" s="515"/>
      <c r="I30" s="515"/>
      <c r="J30" s="66">
        <f>VLOOKUP(G30,'FİYAT LİSTESİ'!G:I,3,0)</f>
        <v>850</v>
      </c>
      <c r="K30" s="142">
        <f>J30</f>
        <v>850</v>
      </c>
      <c r="L30" s="223"/>
      <c r="M30" s="223"/>
      <c r="N30" s="223"/>
      <c r="O30" s="229"/>
      <c r="P30" s="229"/>
      <c r="Q30" s="231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  <c r="AL30" s="223"/>
      <c r="AM30" s="223"/>
      <c r="AN30" s="223"/>
      <c r="AO30" s="223"/>
      <c r="AP30" s="223"/>
      <c r="AQ30" s="223"/>
      <c r="AR30" s="223"/>
      <c r="AS30" s="223"/>
      <c r="AT30" s="223"/>
      <c r="AU30" s="223"/>
      <c r="AV30" s="223"/>
      <c r="AW30" s="223"/>
      <c r="AX30" s="223"/>
      <c r="AY30" s="223"/>
      <c r="AZ30" s="223"/>
      <c r="BA30" s="223"/>
      <c r="BB30" s="223"/>
      <c r="BC30" s="223"/>
      <c r="BD30" s="223"/>
      <c r="BE30" s="223"/>
      <c r="BF30" s="223"/>
      <c r="BG30" s="223"/>
      <c r="BH30" s="223"/>
      <c r="BI30" s="223"/>
      <c r="BJ30" s="223"/>
      <c r="BK30" s="223"/>
    </row>
    <row r="31" spans="1:63" s="226" customFormat="1" ht="18" x14ac:dyDescent="0.25">
      <c r="A31" s="507"/>
      <c r="B31" s="247" t="s">
        <v>112</v>
      </c>
      <c r="C31" s="292">
        <v>1</v>
      </c>
      <c r="D31" s="103">
        <f>VLOOKUP(B31,'FİYAT LİSTESİ'!B:D,3,0)</f>
        <v>450</v>
      </c>
      <c r="E31" s="104">
        <f>IF(C31="YOK",0,D31*C31)</f>
        <v>450</v>
      </c>
      <c r="F31" s="514"/>
      <c r="G31" s="515" t="s">
        <v>191</v>
      </c>
      <c r="H31" s="515"/>
      <c r="I31" s="515"/>
      <c r="J31" s="66">
        <f>VLOOKUP(G31,'FİYAT LİSTESİ'!G:I,3,0)</f>
        <v>200</v>
      </c>
      <c r="K31" s="142">
        <f>J31*C11/1000</f>
        <v>1050</v>
      </c>
      <c r="L31" s="223"/>
      <c r="M31" s="223"/>
      <c r="N31" s="223"/>
      <c r="O31" s="231"/>
      <c r="P31" s="231"/>
      <c r="Q31" s="231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  <c r="AL31" s="223"/>
      <c r="AM31" s="223"/>
      <c r="AN31" s="223"/>
      <c r="AO31" s="223"/>
      <c r="AP31" s="223"/>
      <c r="AQ31" s="223"/>
      <c r="AR31" s="223"/>
      <c r="AS31" s="223"/>
      <c r="AT31" s="223"/>
      <c r="AU31" s="223"/>
      <c r="AV31" s="223"/>
      <c r="AW31" s="223"/>
      <c r="AX31" s="223"/>
      <c r="AY31" s="223"/>
      <c r="AZ31" s="223"/>
      <c r="BA31" s="223"/>
      <c r="BB31" s="223"/>
      <c r="BC31" s="223"/>
      <c r="BD31" s="223"/>
      <c r="BE31" s="223"/>
      <c r="BF31" s="223"/>
      <c r="BG31" s="223"/>
      <c r="BH31" s="223"/>
      <c r="BI31" s="223"/>
      <c r="BJ31" s="223"/>
      <c r="BK31" s="223"/>
    </row>
    <row r="32" spans="1:63" s="226" customFormat="1" ht="18" x14ac:dyDescent="0.25">
      <c r="A32" s="507"/>
      <c r="B32" s="248"/>
      <c r="C32" s="326" t="s">
        <v>117</v>
      </c>
      <c r="D32" s="217" t="s">
        <v>116</v>
      </c>
      <c r="E32" s="104" t="s">
        <v>0</v>
      </c>
      <c r="F32" s="514"/>
      <c r="G32" s="515" t="s">
        <v>257</v>
      </c>
      <c r="H32" s="515"/>
      <c r="I32" s="515"/>
      <c r="J32" s="66">
        <f>VLOOKUP(G32,'FİYAT LİSTESİ'!G:I,3,0)</f>
        <v>2900</v>
      </c>
      <c r="K32" s="142">
        <f>(C11/1000)*(J32/50)</f>
        <v>304.5</v>
      </c>
      <c r="L32" s="223"/>
      <c r="M32" s="223"/>
      <c r="N32" s="223"/>
      <c r="O32" s="231"/>
      <c r="P32" s="231"/>
      <c r="Q32" s="231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  <c r="AL32" s="223"/>
      <c r="AM32" s="223"/>
      <c r="AN32" s="223"/>
      <c r="AO32" s="223"/>
      <c r="AP32" s="223"/>
      <c r="AQ32" s="223"/>
      <c r="AR32" s="223"/>
      <c r="AS32" s="223"/>
      <c r="AT32" s="223"/>
      <c r="AU32" s="223"/>
      <c r="AV32" s="223"/>
      <c r="AW32" s="223"/>
      <c r="AX32" s="223"/>
      <c r="AY32" s="223"/>
      <c r="AZ32" s="223"/>
      <c r="BA32" s="223"/>
      <c r="BB32" s="223"/>
      <c r="BC32" s="223"/>
      <c r="BD32" s="223"/>
      <c r="BE32" s="223"/>
      <c r="BF32" s="223"/>
      <c r="BG32" s="223"/>
      <c r="BH32" s="223"/>
      <c r="BI32" s="223"/>
      <c r="BJ32" s="223"/>
      <c r="BK32" s="223"/>
    </row>
    <row r="33" spans="1:63" s="226" customFormat="1" ht="18" x14ac:dyDescent="0.25">
      <c r="A33" s="507"/>
      <c r="B33" s="249" t="s">
        <v>86</v>
      </c>
      <c r="C33" s="293">
        <v>1</v>
      </c>
      <c r="D33" s="250">
        <f>VLOOKUP(B33,'FİYAT LİSTESİ'!B:D,3,0)</f>
        <v>55</v>
      </c>
      <c r="E33" s="104">
        <f>IF(C33="YOK",0,D33*C33)</f>
        <v>55</v>
      </c>
      <c r="F33" s="514"/>
      <c r="G33" s="515" t="s">
        <v>97</v>
      </c>
      <c r="H33" s="515"/>
      <c r="I33" s="515"/>
      <c r="J33" s="66">
        <f>VLOOKUP(G33,'FİYAT LİSTESİ'!G:I,3,0)</f>
        <v>50</v>
      </c>
      <c r="K33" s="142">
        <f>J33*C11/1000</f>
        <v>262.5</v>
      </c>
      <c r="L33" s="231"/>
      <c r="M33" s="231"/>
      <c r="N33" s="231"/>
      <c r="O33" s="231"/>
      <c r="P33" s="231"/>
      <c r="Q33" s="231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3"/>
      <c r="AK33" s="223"/>
      <c r="AL33" s="223"/>
      <c r="AM33" s="223"/>
      <c r="AN33" s="223"/>
      <c r="AO33" s="223"/>
      <c r="AP33" s="223"/>
      <c r="AQ33" s="223"/>
      <c r="AR33" s="223"/>
      <c r="AS33" s="223"/>
      <c r="AT33" s="223"/>
      <c r="AU33" s="223"/>
      <c r="AV33" s="223"/>
      <c r="AW33" s="223"/>
      <c r="AX33" s="223"/>
      <c r="AY33" s="223"/>
      <c r="AZ33" s="223"/>
      <c r="BA33" s="223"/>
      <c r="BB33" s="223"/>
      <c r="BC33" s="223"/>
      <c r="BD33" s="223"/>
      <c r="BE33" s="223"/>
      <c r="BF33" s="223"/>
      <c r="BG33" s="223"/>
      <c r="BH33" s="223"/>
      <c r="BI33" s="223"/>
      <c r="BJ33" s="223"/>
      <c r="BK33" s="223"/>
    </row>
    <row r="34" spans="1:63" s="226" customFormat="1" ht="18" x14ac:dyDescent="0.25">
      <c r="A34" s="507"/>
      <c r="B34" s="217" t="s">
        <v>114</v>
      </c>
      <c r="C34" s="292">
        <v>1</v>
      </c>
      <c r="D34" s="250">
        <f>VLOOKUP(B34,'FİYAT LİSTESİ'!B:D,3,0)</f>
        <v>55</v>
      </c>
      <c r="E34" s="104">
        <f>IF(C34="YOK",0,C34*D34)</f>
        <v>55</v>
      </c>
      <c r="F34" s="514"/>
      <c r="G34" s="515" t="s">
        <v>129</v>
      </c>
      <c r="H34" s="515"/>
      <c r="I34" s="515"/>
      <c r="J34" s="66">
        <f>VLOOKUP(G34,'FİYAT LİSTESİ'!G:I,3,0)</f>
        <v>35</v>
      </c>
      <c r="K34" s="376">
        <f>J34*J35*C11/1000</f>
        <v>275.625</v>
      </c>
      <c r="L34" s="223"/>
      <c r="M34" s="223"/>
      <c r="N34" s="223"/>
      <c r="O34" s="231"/>
      <c r="P34" s="231"/>
      <c r="Q34" s="231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3"/>
      <c r="AO34" s="223"/>
      <c r="AP34" s="223"/>
      <c r="AQ34" s="223"/>
      <c r="AR34" s="223"/>
      <c r="AS34" s="223"/>
      <c r="AT34" s="223"/>
      <c r="AU34" s="223"/>
      <c r="AV34" s="223"/>
      <c r="AW34" s="223"/>
      <c r="AX34" s="223"/>
      <c r="AY34" s="223"/>
      <c r="AZ34" s="223"/>
      <c r="BA34" s="223"/>
      <c r="BB34" s="223"/>
      <c r="BC34" s="223"/>
      <c r="BD34" s="223"/>
      <c r="BE34" s="223"/>
      <c r="BF34" s="223"/>
      <c r="BG34" s="223"/>
      <c r="BH34" s="223"/>
      <c r="BI34" s="223"/>
      <c r="BJ34" s="223"/>
      <c r="BK34" s="223"/>
    </row>
    <row r="35" spans="1:63" s="226" customFormat="1" ht="18" x14ac:dyDescent="0.25">
      <c r="A35" s="507"/>
      <c r="B35" s="247" t="s">
        <v>115</v>
      </c>
      <c r="C35" s="292">
        <v>8</v>
      </c>
      <c r="D35" s="250">
        <f>VLOOKUP(B35,'FİYAT LİSTESİ'!B:D,3,0)</f>
        <v>200</v>
      </c>
      <c r="E35" s="104">
        <f>IF(C35="YOK",0,D35*C35)</f>
        <v>1600</v>
      </c>
      <c r="F35" s="514"/>
      <c r="G35" s="515" t="s">
        <v>131</v>
      </c>
      <c r="H35" s="515"/>
      <c r="I35" s="515"/>
      <c r="J35" s="66">
        <f>VLOOKUP(G35,'FİYAT LİSTESİ'!G:I,3,0)</f>
        <v>1.5</v>
      </c>
      <c r="K35" s="376"/>
      <c r="L35" s="223"/>
      <c r="M35" s="223"/>
      <c r="N35" s="223"/>
      <c r="O35" s="231"/>
      <c r="P35" s="231"/>
      <c r="Q35" s="231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3"/>
      <c r="AO35" s="223"/>
      <c r="AP35" s="223"/>
      <c r="AQ35" s="223"/>
      <c r="AR35" s="223"/>
      <c r="AS35" s="223"/>
      <c r="AT35" s="223"/>
      <c r="AU35" s="223"/>
      <c r="AV35" s="223"/>
      <c r="AW35" s="223"/>
      <c r="AX35" s="223"/>
      <c r="AY35" s="223"/>
      <c r="AZ35" s="223"/>
      <c r="BA35" s="223"/>
      <c r="BB35" s="223"/>
      <c r="BC35" s="223"/>
      <c r="BD35" s="223"/>
      <c r="BE35" s="223"/>
      <c r="BF35" s="223"/>
      <c r="BG35" s="223"/>
      <c r="BH35" s="223"/>
      <c r="BI35" s="223"/>
      <c r="BJ35" s="223"/>
      <c r="BK35" s="223"/>
    </row>
    <row r="36" spans="1:63" s="226" customFormat="1" ht="15.75" customHeight="1" x14ac:dyDescent="0.25">
      <c r="A36" s="507"/>
      <c r="B36" s="217" t="s">
        <v>87</v>
      </c>
      <c r="C36" s="292">
        <v>8</v>
      </c>
      <c r="D36" s="250">
        <f>VLOOKUP(B36,'FİYAT LİSTESİ'!B:D,3,0)</f>
        <v>250</v>
      </c>
      <c r="E36" s="104">
        <f>IF(C36="YOK",0,D36*C36)</f>
        <v>2000</v>
      </c>
      <c r="F36" s="514"/>
      <c r="G36" s="516" t="s">
        <v>130</v>
      </c>
      <c r="H36" s="516"/>
      <c r="I36" s="516"/>
      <c r="J36" s="378">
        <f>VLOOKUP(G36,'FİYAT LİSTESİ'!G:I,3,0)</f>
        <v>150</v>
      </c>
      <c r="K36" s="376">
        <f>J36*C11/1000</f>
        <v>787.5</v>
      </c>
      <c r="L36" s="223"/>
      <c r="M36" s="223"/>
      <c r="N36" s="223"/>
      <c r="O36" s="231"/>
      <c r="P36" s="231"/>
      <c r="Q36" s="231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223"/>
      <c r="AR36" s="223"/>
      <c r="AS36" s="223"/>
      <c r="AT36" s="223"/>
      <c r="AU36" s="223"/>
      <c r="AV36" s="223"/>
      <c r="AW36" s="223"/>
      <c r="AX36" s="223"/>
      <c r="AY36" s="223"/>
      <c r="AZ36" s="223"/>
      <c r="BA36" s="223"/>
      <c r="BB36" s="223"/>
      <c r="BC36" s="223"/>
      <c r="BD36" s="223"/>
      <c r="BE36" s="223"/>
      <c r="BF36" s="223"/>
      <c r="BG36" s="223"/>
      <c r="BH36" s="223"/>
      <c r="BI36" s="223"/>
      <c r="BJ36" s="223"/>
      <c r="BK36" s="223"/>
    </row>
    <row r="37" spans="1:63" s="226" customFormat="1" ht="15.75" customHeight="1" x14ac:dyDescent="0.25">
      <c r="A37" s="507"/>
      <c r="B37" s="103" t="s">
        <v>153</v>
      </c>
      <c r="C37" s="292">
        <v>1</v>
      </c>
      <c r="D37" s="250">
        <f>VLOOKUP(B37,'FİYAT LİSTESİ'!B:D,3,0)</f>
        <v>55</v>
      </c>
      <c r="E37" s="104">
        <f>IF(C37="YOK",0,D37*C37)</f>
        <v>55</v>
      </c>
      <c r="F37" s="514"/>
      <c r="G37" s="516"/>
      <c r="H37" s="516"/>
      <c r="I37" s="516"/>
      <c r="J37" s="379"/>
      <c r="K37" s="376"/>
      <c r="L37" s="223"/>
      <c r="M37" s="223"/>
      <c r="N37" s="223"/>
      <c r="O37" s="231"/>
      <c r="P37" s="231"/>
      <c r="Q37" s="231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  <c r="AZ37" s="223"/>
      <c r="BA37" s="223"/>
      <c r="BB37" s="223"/>
      <c r="BC37" s="223"/>
      <c r="BD37" s="223"/>
      <c r="BE37" s="223"/>
      <c r="BF37" s="223"/>
      <c r="BG37" s="223"/>
      <c r="BH37" s="223"/>
      <c r="BI37" s="223"/>
      <c r="BJ37" s="223"/>
      <c r="BK37" s="223"/>
    </row>
    <row r="38" spans="1:63" s="226" customFormat="1" x14ac:dyDescent="0.25">
      <c r="A38" s="507"/>
      <c r="B38" s="508" t="s">
        <v>18</v>
      </c>
      <c r="C38" s="509"/>
      <c r="D38" s="510"/>
      <c r="E38" s="220">
        <f>SUM(E33:E37)+SUM(E29:E31)</f>
        <v>5855</v>
      </c>
      <c r="F38" s="514"/>
      <c r="G38" s="515" t="s">
        <v>18</v>
      </c>
      <c r="H38" s="515"/>
      <c r="I38" s="515"/>
      <c r="J38" s="515"/>
      <c r="K38" s="142">
        <f>SUM(K30:K37)</f>
        <v>3530.125</v>
      </c>
      <c r="L38" s="223"/>
      <c r="M38" s="223"/>
      <c r="N38" s="223"/>
      <c r="O38" s="231"/>
      <c r="P38" s="231"/>
      <c r="Q38" s="231"/>
      <c r="R38" s="222"/>
      <c r="S38" s="222"/>
      <c r="T38" s="222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3"/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  <c r="AZ38" s="223"/>
      <c r="BA38" s="223"/>
      <c r="BB38" s="223"/>
      <c r="BC38" s="223"/>
      <c r="BD38" s="223"/>
      <c r="BE38" s="223"/>
      <c r="BF38" s="223"/>
      <c r="BG38" s="223"/>
      <c r="BH38" s="223"/>
      <c r="BI38" s="223"/>
      <c r="BJ38" s="223"/>
      <c r="BK38" s="223"/>
    </row>
    <row r="39" spans="1:63" s="226" customFormat="1" ht="23.25" x14ac:dyDescent="0.25">
      <c r="A39" s="517" t="s">
        <v>119</v>
      </c>
      <c r="B39" s="517"/>
      <c r="C39" s="517"/>
      <c r="D39" s="517"/>
      <c r="E39" s="68">
        <f>E16+E21+E26+E38</f>
        <v>9700</v>
      </c>
      <c r="F39" s="519"/>
      <c r="G39" s="519"/>
      <c r="H39" s="519"/>
      <c r="I39" s="519"/>
      <c r="J39" s="519"/>
      <c r="K39" s="519"/>
      <c r="L39" s="223"/>
      <c r="M39" s="223"/>
      <c r="N39" s="223"/>
      <c r="O39" s="231"/>
      <c r="P39" s="231"/>
      <c r="Q39" s="231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  <c r="AL39" s="223"/>
      <c r="AM39" s="223"/>
      <c r="AN39" s="223"/>
      <c r="AO39" s="223"/>
      <c r="AP39" s="223"/>
      <c r="AQ39" s="223"/>
      <c r="AR39" s="223"/>
      <c r="AS39" s="223"/>
      <c r="AT39" s="223"/>
      <c r="AU39" s="223"/>
      <c r="AV39" s="223"/>
      <c r="AW39" s="223"/>
      <c r="AX39" s="223"/>
      <c r="AY39" s="223"/>
      <c r="AZ39" s="223"/>
      <c r="BA39" s="223"/>
      <c r="BB39" s="223"/>
      <c r="BC39" s="223"/>
      <c r="BD39" s="223"/>
      <c r="BE39" s="223"/>
      <c r="BF39" s="223"/>
      <c r="BG39" s="223"/>
      <c r="BH39" s="223"/>
      <c r="BI39" s="223"/>
      <c r="BJ39" s="223"/>
      <c r="BK39" s="223"/>
    </row>
    <row r="40" spans="1:63" s="226" customFormat="1" ht="20.25" x14ac:dyDescent="0.25">
      <c r="A40" s="223"/>
      <c r="B40" s="223"/>
      <c r="C40" s="223"/>
      <c r="D40" s="223"/>
      <c r="E40" s="223"/>
      <c r="F40" s="521" t="s">
        <v>132</v>
      </c>
      <c r="G40" s="523" t="s">
        <v>122</v>
      </c>
      <c r="H40" s="524"/>
      <c r="I40" s="524"/>
      <c r="J40" s="525"/>
      <c r="K40" s="276" t="s">
        <v>116</v>
      </c>
      <c r="L40" s="223"/>
      <c r="M40" s="223"/>
      <c r="N40" s="223"/>
      <c r="O40" s="229"/>
      <c r="P40" s="229"/>
      <c r="Q40" s="231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3"/>
      <c r="AM40" s="223"/>
      <c r="AN40" s="223"/>
      <c r="AO40" s="223"/>
      <c r="AP40" s="223"/>
      <c r="AQ40" s="223"/>
      <c r="AR40" s="223"/>
      <c r="AS40" s="223"/>
      <c r="AT40" s="223"/>
      <c r="AU40" s="223"/>
      <c r="AV40" s="223"/>
      <c r="AW40" s="223"/>
      <c r="AX40" s="223"/>
      <c r="AY40" s="223"/>
      <c r="AZ40" s="223"/>
      <c r="BA40" s="223"/>
      <c r="BB40" s="223"/>
      <c r="BC40" s="223"/>
      <c r="BD40" s="223"/>
      <c r="BE40" s="223"/>
      <c r="BF40" s="223"/>
      <c r="BG40" s="223"/>
      <c r="BH40" s="223"/>
      <c r="BI40" s="223"/>
      <c r="BJ40" s="223"/>
      <c r="BK40" s="223"/>
    </row>
    <row r="41" spans="1:63" s="223" customFormat="1" x14ac:dyDescent="0.25">
      <c r="A41" s="526" t="s">
        <v>120</v>
      </c>
      <c r="B41" s="527" t="s">
        <v>90</v>
      </c>
      <c r="C41" s="528"/>
      <c r="D41" s="529"/>
      <c r="E41" s="135">
        <f>VLOOKUP(B41,'FİYAT LİSTESİ'!G:I,2,0)</f>
        <v>317</v>
      </c>
      <c r="F41" s="521"/>
      <c r="G41" s="523" t="s">
        <v>229</v>
      </c>
      <c r="H41" s="524"/>
      <c r="I41" s="524"/>
      <c r="J41" s="525"/>
      <c r="K41" s="99">
        <f>VLOOKUP(G41,'FİYAT LİSTESİ'!G:I,3,0)</f>
        <v>268</v>
      </c>
      <c r="O41" s="231"/>
      <c r="P41" s="231"/>
      <c r="Q41" s="231"/>
      <c r="R41" s="222"/>
      <c r="S41" s="222"/>
      <c r="T41" s="222"/>
    </row>
    <row r="42" spans="1:63" s="223" customFormat="1" x14ac:dyDescent="0.25">
      <c r="A42" s="526"/>
      <c r="B42" s="527" t="s">
        <v>91</v>
      </c>
      <c r="C42" s="528"/>
      <c r="D42" s="529"/>
      <c r="E42" s="135">
        <f>VLOOKUP(B42,'FİYAT LİSTESİ'!G:I,2,0)</f>
        <v>317</v>
      </c>
      <c r="F42" s="521"/>
      <c r="G42" s="522" t="s">
        <v>89</v>
      </c>
      <c r="H42" s="522"/>
      <c r="I42" s="294">
        <v>1</v>
      </c>
      <c r="J42" s="140">
        <f>VLOOKUP(G42,'FİYAT LİSTESİ'!G:I,3,0)</f>
        <v>110</v>
      </c>
      <c r="K42" s="99">
        <f>VLOOKUP(G42,'FİYAT LİSTESİ'!G:I,3,0)</f>
        <v>110</v>
      </c>
      <c r="O42" s="231"/>
      <c r="P42" s="231"/>
      <c r="Q42" s="231"/>
      <c r="R42" s="255"/>
      <c r="S42" s="255"/>
      <c r="T42" s="222"/>
    </row>
    <row r="43" spans="1:63" s="223" customFormat="1" x14ac:dyDescent="0.25">
      <c r="A43" s="526"/>
      <c r="B43" s="530" t="s">
        <v>92</v>
      </c>
      <c r="C43" s="531"/>
      <c r="D43" s="532"/>
      <c r="E43" s="135">
        <f>VLOOKUP(B43,'FİYAT LİSTESİ'!G:I,2,0)</f>
        <v>97.6</v>
      </c>
      <c r="F43" s="521"/>
      <c r="G43" s="523" t="s">
        <v>18</v>
      </c>
      <c r="H43" s="524"/>
      <c r="I43" s="524"/>
      <c r="J43" s="525"/>
      <c r="K43" s="99">
        <f>SUM(K41:K42)</f>
        <v>378</v>
      </c>
      <c r="O43" s="229"/>
      <c r="P43" s="229"/>
      <c r="Q43" s="231"/>
      <c r="R43" s="222"/>
      <c r="S43" s="222"/>
      <c r="T43" s="222"/>
    </row>
    <row r="44" spans="1:63" s="223" customFormat="1" x14ac:dyDescent="0.25">
      <c r="A44" s="526"/>
      <c r="B44" s="256" t="s">
        <v>133</v>
      </c>
      <c r="C44" s="257"/>
      <c r="D44" s="258"/>
      <c r="E44" s="135">
        <f>SUM(E41:E43)</f>
        <v>731.6</v>
      </c>
      <c r="F44" s="222"/>
      <c r="G44" s="222"/>
      <c r="O44" s="259"/>
      <c r="P44" s="229"/>
      <c r="Q44" s="231"/>
      <c r="R44" s="222"/>
      <c r="S44" s="222"/>
      <c r="T44" s="222"/>
    </row>
    <row r="45" spans="1:63" s="223" customFormat="1" x14ac:dyDescent="0.25">
      <c r="A45" s="520"/>
      <c r="B45" s="520"/>
      <c r="C45" s="520"/>
      <c r="D45" s="520"/>
      <c r="E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</row>
    <row r="46" spans="1:63" s="223" customFormat="1" x14ac:dyDescent="0.25">
      <c r="A46" s="222"/>
      <c r="B46" s="222"/>
      <c r="C46" s="222"/>
      <c r="D46" s="222"/>
      <c r="E46" s="222"/>
      <c r="G46" s="222"/>
      <c r="H46" s="222"/>
      <c r="I46" s="222"/>
      <c r="J46" s="141"/>
      <c r="K46" s="222"/>
      <c r="L46" s="222"/>
      <c r="M46" s="222"/>
      <c r="N46" s="222"/>
      <c r="O46" s="222"/>
      <c r="P46" s="222"/>
      <c r="Q46" s="222"/>
      <c r="R46" s="222"/>
      <c r="S46" s="222"/>
      <c r="T46" s="222"/>
    </row>
    <row r="47" spans="1:63" s="223" customFormat="1" x14ac:dyDescent="0.25">
      <c r="A47" s="222"/>
      <c r="B47" s="255"/>
      <c r="C47" s="255"/>
      <c r="D47" s="255"/>
      <c r="E47" s="222"/>
      <c r="G47" s="222"/>
      <c r="H47" s="222"/>
      <c r="I47" s="222"/>
      <c r="J47" s="141"/>
      <c r="K47" s="222"/>
      <c r="L47" s="222"/>
      <c r="M47" s="222"/>
      <c r="N47" s="222"/>
      <c r="O47" s="222"/>
      <c r="P47" s="222"/>
      <c r="Q47" s="222"/>
      <c r="R47" s="222"/>
      <c r="S47" s="222"/>
      <c r="T47" s="222"/>
    </row>
    <row r="48" spans="1:63" s="223" customFormat="1" x14ac:dyDescent="0.25">
      <c r="A48" s="222"/>
      <c r="B48" s="222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</row>
    <row r="49" spans="1:20" s="223" customFormat="1" x14ac:dyDescent="0.25">
      <c r="A49" s="222"/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</row>
    <row r="50" spans="1:20" s="223" customFormat="1" x14ac:dyDescent="0.25">
      <c r="A50" s="222"/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</row>
    <row r="51" spans="1:20" s="223" customFormat="1" x14ac:dyDescent="0.25">
      <c r="A51" s="222"/>
      <c r="B51" s="222"/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</row>
    <row r="52" spans="1:20" s="223" customFormat="1" x14ac:dyDescent="0.25">
      <c r="A52" s="222"/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</row>
    <row r="53" spans="1:20" s="223" customFormat="1" x14ac:dyDescent="0.25">
      <c r="A53" s="222"/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</row>
    <row r="54" spans="1:20" s="223" customFormat="1" x14ac:dyDescent="0.25">
      <c r="A54" s="222"/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</row>
    <row r="55" spans="1:20" s="223" customFormat="1" x14ac:dyDescent="0.25">
      <c r="A55" s="222"/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</row>
    <row r="56" spans="1:20" s="223" customFormat="1" x14ac:dyDescent="0.25">
      <c r="A56" s="222"/>
      <c r="B56" s="222"/>
      <c r="C56" s="222"/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</row>
    <row r="57" spans="1:20" s="223" customFormat="1" x14ac:dyDescent="0.25">
      <c r="A57" s="222"/>
      <c r="B57" s="222"/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</row>
    <row r="58" spans="1:20" s="223" customFormat="1" x14ac:dyDescent="0.25">
      <c r="A58" s="222"/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</row>
    <row r="59" spans="1:20" s="223" customFormat="1" x14ac:dyDescent="0.25">
      <c r="A59" s="222"/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</row>
    <row r="60" spans="1:20" s="223" customFormat="1" x14ac:dyDescent="0.25">
      <c r="A60" s="222"/>
      <c r="B60" s="222"/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</row>
    <row r="61" spans="1:20" s="223" customFormat="1" x14ac:dyDescent="0.25">
      <c r="A61" s="222"/>
      <c r="B61" s="222"/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</row>
    <row r="62" spans="1:20" s="223" customFormat="1" x14ac:dyDescent="0.25">
      <c r="A62" s="222"/>
      <c r="B62" s="222"/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</row>
    <row r="63" spans="1:20" s="223" customFormat="1" x14ac:dyDescent="0.25">
      <c r="A63" s="222"/>
      <c r="B63" s="222"/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</row>
    <row r="64" spans="1:20" s="223" customFormat="1" x14ac:dyDescent="0.25">
      <c r="A64" s="222"/>
      <c r="B64" s="222"/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</row>
    <row r="65" spans="1:20" s="223" customFormat="1" x14ac:dyDescent="0.25">
      <c r="A65" s="222"/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</row>
    <row r="66" spans="1:20" s="223" customFormat="1" x14ac:dyDescent="0.25">
      <c r="A66" s="222"/>
      <c r="B66" s="222"/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</row>
    <row r="67" spans="1:20" s="223" customFormat="1" x14ac:dyDescent="0.25">
      <c r="A67" s="222"/>
      <c r="B67" s="222"/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</row>
    <row r="68" spans="1:20" s="223" customFormat="1" x14ac:dyDescent="0.25">
      <c r="A68" s="222"/>
      <c r="B68" s="222"/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</row>
    <row r="69" spans="1:20" s="223" customFormat="1" x14ac:dyDescent="0.25">
      <c r="A69" s="222"/>
      <c r="B69" s="222"/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</row>
    <row r="70" spans="1:20" s="223" customFormat="1" x14ac:dyDescent="0.25">
      <c r="A70" s="222"/>
      <c r="B70" s="222"/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</row>
    <row r="71" spans="1:20" s="223" customFormat="1" x14ac:dyDescent="0.25">
      <c r="A71" s="222"/>
      <c r="B71" s="222"/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</row>
    <row r="72" spans="1:20" s="223" customFormat="1" x14ac:dyDescent="0.25">
      <c r="A72" s="222"/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</row>
    <row r="73" spans="1:20" s="223" customFormat="1" x14ac:dyDescent="0.25">
      <c r="A73" s="222"/>
      <c r="B73" s="222"/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</row>
    <row r="74" spans="1:20" s="223" customFormat="1" x14ac:dyDescent="0.25">
      <c r="A74" s="222"/>
      <c r="B74" s="222"/>
      <c r="C74" s="222"/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</row>
    <row r="75" spans="1:20" s="223" customFormat="1" x14ac:dyDescent="0.25">
      <c r="A75" s="222"/>
      <c r="B75" s="222"/>
      <c r="C75" s="222"/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</row>
    <row r="76" spans="1:20" s="223" customFormat="1" x14ac:dyDescent="0.25">
      <c r="A76" s="222"/>
      <c r="B76" s="222"/>
      <c r="C76" s="222"/>
      <c r="D76" s="222"/>
      <c r="E76" s="222"/>
      <c r="F76" s="222"/>
      <c r="G76" s="222"/>
      <c r="H76" s="222"/>
      <c r="I76" s="222"/>
      <c r="J76" s="260"/>
      <c r="K76" s="222"/>
      <c r="L76" s="222"/>
      <c r="M76" s="222"/>
      <c r="N76" s="222"/>
      <c r="O76" s="222"/>
      <c r="P76" s="222"/>
      <c r="Q76" s="222"/>
      <c r="R76" s="222"/>
      <c r="S76" s="222"/>
      <c r="T76" s="222"/>
    </row>
    <row r="77" spans="1:20" s="223" customFormat="1" x14ac:dyDescent="0.25">
      <c r="A77" s="222"/>
      <c r="B77" s="222"/>
      <c r="C77" s="222"/>
      <c r="D77" s="222"/>
      <c r="E77" s="222"/>
      <c r="F77" s="222"/>
      <c r="G77" s="260"/>
      <c r="H77" s="260"/>
      <c r="I77" s="260"/>
      <c r="J77" s="260"/>
      <c r="K77" s="222"/>
      <c r="L77" s="222"/>
      <c r="M77" s="222"/>
      <c r="N77" s="222"/>
      <c r="O77" s="222"/>
      <c r="P77" s="222"/>
      <c r="Q77" s="222"/>
      <c r="R77" s="222"/>
      <c r="S77" s="222"/>
      <c r="T77" s="222"/>
    </row>
    <row r="78" spans="1:20" s="223" customFormat="1" x14ac:dyDescent="0.25">
      <c r="A78" s="222"/>
      <c r="B78" s="222"/>
      <c r="C78" s="222"/>
      <c r="D78" s="222"/>
      <c r="E78" s="222"/>
      <c r="F78" s="222"/>
      <c r="G78" s="260"/>
      <c r="H78" s="260"/>
      <c r="I78" s="260"/>
      <c r="J78" s="260"/>
      <c r="K78" s="222"/>
      <c r="L78" s="222"/>
      <c r="M78" s="222"/>
      <c r="N78" s="222"/>
      <c r="O78" s="222"/>
      <c r="P78" s="222"/>
      <c r="Q78" s="222"/>
      <c r="R78" s="222"/>
      <c r="S78" s="222"/>
      <c r="T78" s="222"/>
    </row>
    <row r="79" spans="1:20" s="223" customFormat="1" x14ac:dyDescent="0.25">
      <c r="A79" s="222"/>
      <c r="B79" s="222"/>
      <c r="C79" s="222"/>
      <c r="D79" s="222"/>
      <c r="E79" s="222"/>
      <c r="F79" s="261"/>
      <c r="G79" s="260"/>
      <c r="H79" s="260"/>
      <c r="I79" s="260"/>
      <c r="J79" s="260"/>
      <c r="K79" s="222"/>
      <c r="L79" s="222"/>
      <c r="M79" s="222"/>
      <c r="N79" s="222"/>
      <c r="O79" s="222"/>
      <c r="P79" s="222"/>
      <c r="Q79" s="222"/>
      <c r="R79" s="222"/>
      <c r="S79" s="222"/>
      <c r="T79" s="222"/>
    </row>
    <row r="80" spans="1:20" s="223" customFormat="1" x14ac:dyDescent="0.25">
      <c r="A80" s="222"/>
      <c r="B80" s="222"/>
      <c r="C80" s="222"/>
      <c r="D80" s="222"/>
      <c r="E80" s="222"/>
      <c r="F80" s="261"/>
      <c r="G80" s="260"/>
      <c r="H80" s="260"/>
      <c r="I80" s="260"/>
      <c r="J80" s="260"/>
      <c r="K80" s="222"/>
      <c r="L80" s="222"/>
      <c r="M80" s="222"/>
      <c r="N80" s="222"/>
      <c r="O80" s="222"/>
      <c r="P80" s="222"/>
      <c r="Q80" s="222"/>
      <c r="R80" s="222"/>
      <c r="S80" s="222"/>
      <c r="T80" s="222"/>
    </row>
    <row r="81" spans="1:20" s="223" customFormat="1" x14ac:dyDescent="0.25">
      <c r="A81" s="222"/>
      <c r="B81" s="222"/>
      <c r="C81" s="222"/>
      <c r="D81" s="222"/>
      <c r="E81" s="222"/>
      <c r="F81" s="261"/>
      <c r="G81" s="260"/>
      <c r="H81" s="260"/>
      <c r="I81" s="260"/>
      <c r="J81" s="260"/>
      <c r="K81" s="222"/>
      <c r="L81" s="222"/>
      <c r="M81" s="222"/>
      <c r="N81" s="222"/>
      <c r="O81" s="222"/>
      <c r="P81" s="222"/>
      <c r="Q81" s="222"/>
      <c r="R81" s="222"/>
      <c r="S81" s="222"/>
      <c r="T81" s="222"/>
    </row>
    <row r="82" spans="1:20" x14ac:dyDescent="0.25">
      <c r="A82" s="222"/>
      <c r="B82" s="222"/>
      <c r="C82" s="222"/>
      <c r="D82" s="222"/>
      <c r="E82" s="222"/>
    </row>
    <row r="83" spans="1:20" x14ac:dyDescent="0.25">
      <c r="A83" s="222"/>
      <c r="B83" s="222"/>
      <c r="C83" s="222"/>
      <c r="D83" s="222"/>
      <c r="E83" s="222"/>
    </row>
    <row r="84" spans="1:20" x14ac:dyDescent="0.25">
      <c r="A84" s="222"/>
      <c r="B84" s="222"/>
      <c r="C84" s="222"/>
      <c r="D84" s="222"/>
      <c r="E84" s="222"/>
    </row>
    <row r="85" spans="1:20" x14ac:dyDescent="0.25">
      <c r="A85" s="222"/>
      <c r="B85" s="222"/>
      <c r="C85" s="222"/>
      <c r="D85" s="222"/>
      <c r="E85" s="222"/>
    </row>
  </sheetData>
  <sheetProtection algorithmName="SHA-512" hashValue="Tet3GR4r6KkJu4XhPLERQnBw9ubHKTTlu9UoKq8XkkXANjkYGoU145eVk6hQFuz7CCmhblKDN1XTlj60DbiceQ==" saltValue="IRhsDdoQIj/1St2bdyLhSA==" spinCount="100000" sheet="1" objects="1" scenarios="1"/>
  <mergeCells count="79">
    <mergeCell ref="A41:A44"/>
    <mergeCell ref="B41:D41"/>
    <mergeCell ref="B42:D42"/>
    <mergeCell ref="B43:D43"/>
    <mergeCell ref="A1:K1"/>
    <mergeCell ref="F8:F9"/>
    <mergeCell ref="G8:G9"/>
    <mergeCell ref="H8:H9"/>
    <mergeCell ref="I8:I9"/>
    <mergeCell ref="A2:E3"/>
    <mergeCell ref="F2:K3"/>
    <mergeCell ref="A4:A6"/>
    <mergeCell ref="B4:B6"/>
    <mergeCell ref="C4:C6"/>
    <mergeCell ref="D4:D6"/>
    <mergeCell ref="E4:E6"/>
    <mergeCell ref="F4:G4"/>
    <mergeCell ref="H4:I4"/>
    <mergeCell ref="J4:K4"/>
    <mergeCell ref="F5:F6"/>
    <mergeCell ref="A45:D45"/>
    <mergeCell ref="A8:A9"/>
    <mergeCell ref="E8:E9"/>
    <mergeCell ref="G41:J41"/>
    <mergeCell ref="G40:J40"/>
    <mergeCell ref="F40:F43"/>
    <mergeCell ref="G42:H42"/>
    <mergeCell ref="G43:J43"/>
    <mergeCell ref="J36:J37"/>
    <mergeCell ref="A23:A26"/>
    <mergeCell ref="F23:F28"/>
    <mergeCell ref="K36:K37"/>
    <mergeCell ref="A39:D39"/>
    <mergeCell ref="G38:J38"/>
    <mergeCell ref="F39:K39"/>
    <mergeCell ref="F29:K29"/>
    <mergeCell ref="F30:F38"/>
    <mergeCell ref="G30:I30"/>
    <mergeCell ref="G31:I31"/>
    <mergeCell ref="G32:I32"/>
    <mergeCell ref="G33:I33"/>
    <mergeCell ref="G34:I34"/>
    <mergeCell ref="K34:K35"/>
    <mergeCell ref="G35:I35"/>
    <mergeCell ref="G36:I37"/>
    <mergeCell ref="G23:I23"/>
    <mergeCell ref="G24:I24"/>
    <mergeCell ref="G25:I25"/>
    <mergeCell ref="G26:I26"/>
    <mergeCell ref="A27:E27"/>
    <mergeCell ref="G27:I27"/>
    <mergeCell ref="G28:I28"/>
    <mergeCell ref="A28:A38"/>
    <mergeCell ref="B38:D38"/>
    <mergeCell ref="A22:K22"/>
    <mergeCell ref="A17:B21"/>
    <mergeCell ref="C17:D17"/>
    <mergeCell ref="F17:F21"/>
    <mergeCell ref="G17:I17"/>
    <mergeCell ref="C18:D18"/>
    <mergeCell ref="G18:I18"/>
    <mergeCell ref="C19:D19"/>
    <mergeCell ref="G19:I19"/>
    <mergeCell ref="K19:K20"/>
    <mergeCell ref="C20:D20"/>
    <mergeCell ref="G20:I20"/>
    <mergeCell ref="C21:D21"/>
    <mergeCell ref="G21:J21"/>
    <mergeCell ref="A12:K12"/>
    <mergeCell ref="A13:E15"/>
    <mergeCell ref="F13:F16"/>
    <mergeCell ref="G13:K15"/>
    <mergeCell ref="A16:D16"/>
    <mergeCell ref="G16:I16"/>
    <mergeCell ref="G5:G6"/>
    <mergeCell ref="H5:H6"/>
    <mergeCell ref="I5:I6"/>
    <mergeCell ref="J5:J6"/>
    <mergeCell ref="K5:K6"/>
  </mergeCells>
  <pageMargins left="0.7" right="0.7" top="0.75" bottom="0.75" header="0.3" footer="0.3"/>
  <ignoredErrors>
    <ignoredError sqref="E41:E43" unlockedFormula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K43"/>
  <sheetViews>
    <sheetView topLeftCell="A28" workbookViewId="0">
      <selection activeCell="B29" sqref="B29"/>
    </sheetView>
  </sheetViews>
  <sheetFormatPr defaultColWidth="9.140625" defaultRowHeight="21" x14ac:dyDescent="0.25"/>
  <cols>
    <col min="1" max="1" width="23.42578125" style="222" customWidth="1"/>
    <col min="2" max="2" width="22.7109375" style="222" customWidth="1"/>
    <col min="3" max="3" width="17.140625" style="222" customWidth="1"/>
    <col min="4" max="4" width="15" style="222" customWidth="1"/>
    <col min="5" max="5" width="15.7109375" style="222" bestFit="1" customWidth="1"/>
    <col min="6" max="6" width="16.5703125" style="222" customWidth="1"/>
    <col min="7" max="7" width="16.7109375" style="222" customWidth="1"/>
    <col min="8" max="8" width="15" style="222" customWidth="1"/>
    <col min="9" max="9" width="17.28515625" style="222" customWidth="1"/>
    <col min="10" max="10" width="13.28515625" style="222" customWidth="1"/>
    <col min="11" max="11" width="15.28515625" style="222" customWidth="1"/>
    <col min="12" max="12" width="15.7109375" style="222" customWidth="1"/>
    <col min="13" max="13" width="14.140625" style="222" customWidth="1"/>
    <col min="14" max="14" width="19.140625" style="222" customWidth="1"/>
    <col min="15" max="15" width="14.7109375" style="222" customWidth="1"/>
    <col min="16" max="16" width="13.28515625" style="222" customWidth="1"/>
    <col min="17" max="17" width="13" style="222" customWidth="1"/>
    <col min="18" max="18" width="15.28515625" style="222" customWidth="1"/>
    <col min="19" max="19" width="32.85546875" style="222" customWidth="1"/>
    <col min="20" max="20" width="3.7109375" style="222" customWidth="1"/>
    <col min="21" max="21" width="95" style="223" customWidth="1"/>
    <col min="22" max="22" width="3.7109375" style="223" customWidth="1"/>
    <col min="23" max="16384" width="9.140625" style="223"/>
  </cols>
  <sheetData>
    <row r="1" spans="1:63" s="32" customFormat="1" ht="26.25" x14ac:dyDescent="0.25">
      <c r="A1" s="566" t="s">
        <v>201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275"/>
      <c r="M1" s="275"/>
      <c r="N1" s="275"/>
      <c r="O1" s="275"/>
      <c r="P1" s="275"/>
      <c r="Q1" s="275"/>
      <c r="R1" s="222"/>
      <c r="S1" s="222"/>
      <c r="T1" s="222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3"/>
      <c r="BE1" s="223"/>
      <c r="BF1" s="223"/>
      <c r="BG1" s="223"/>
      <c r="BH1" s="223"/>
      <c r="BI1" s="223"/>
      <c r="BJ1" s="223"/>
      <c r="BK1" s="223"/>
    </row>
    <row r="2" spans="1:63" s="32" customFormat="1" ht="26.25" x14ac:dyDescent="0.25">
      <c r="A2" s="451" t="s">
        <v>145</v>
      </c>
      <c r="B2" s="451"/>
      <c r="C2" s="451"/>
      <c r="D2" s="451"/>
      <c r="E2" s="451"/>
      <c r="F2" s="452" t="s">
        <v>146</v>
      </c>
      <c r="G2" s="452"/>
      <c r="H2" s="452"/>
      <c r="I2" s="452"/>
      <c r="J2" s="452"/>
      <c r="K2" s="452"/>
      <c r="L2" s="224"/>
      <c r="M2" s="222"/>
      <c r="N2" s="222"/>
      <c r="O2" s="222"/>
      <c r="P2" s="222"/>
      <c r="Q2" s="222"/>
      <c r="R2" s="222"/>
      <c r="S2" s="222"/>
      <c r="T2" s="222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</row>
    <row r="3" spans="1:63" s="32" customFormat="1" x14ac:dyDescent="0.25">
      <c r="A3" s="451"/>
      <c r="B3" s="451"/>
      <c r="C3" s="451"/>
      <c r="D3" s="451"/>
      <c r="E3" s="451"/>
      <c r="F3" s="452"/>
      <c r="G3" s="452"/>
      <c r="H3" s="452"/>
      <c r="I3" s="452"/>
      <c r="J3" s="452"/>
      <c r="K3" s="452"/>
      <c r="L3" s="225"/>
      <c r="M3" s="222"/>
      <c r="N3" s="222"/>
      <c r="O3" s="222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</row>
    <row r="4" spans="1:63" s="226" customFormat="1" ht="21" customHeight="1" x14ac:dyDescent="0.25">
      <c r="A4" s="595" t="s">
        <v>195</v>
      </c>
      <c r="B4" s="596"/>
      <c r="C4" s="455" t="s">
        <v>199</v>
      </c>
      <c r="D4" s="455" t="s">
        <v>152</v>
      </c>
      <c r="E4" s="455" t="s">
        <v>137</v>
      </c>
      <c r="F4" s="458" t="s">
        <v>147</v>
      </c>
      <c r="G4" s="458"/>
      <c r="H4" s="458" t="s">
        <v>141</v>
      </c>
      <c r="I4" s="458"/>
      <c r="J4" s="458" t="s">
        <v>138</v>
      </c>
      <c r="K4" s="458"/>
      <c r="L4" s="223"/>
      <c r="M4" s="222"/>
      <c r="N4" s="222"/>
      <c r="O4" s="222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</row>
    <row r="5" spans="1:63" s="226" customFormat="1" x14ac:dyDescent="0.25">
      <c r="A5" s="453"/>
      <c r="B5" s="597"/>
      <c r="C5" s="456"/>
      <c r="D5" s="456"/>
      <c r="E5" s="456"/>
      <c r="F5" s="459" t="s">
        <v>148</v>
      </c>
      <c r="G5" s="459" t="s">
        <v>149</v>
      </c>
      <c r="H5" s="461" t="s">
        <v>142</v>
      </c>
      <c r="I5" s="461" t="s">
        <v>143</v>
      </c>
      <c r="J5" s="461" t="s">
        <v>139</v>
      </c>
      <c r="K5" s="461" t="s">
        <v>140</v>
      </c>
      <c r="L5" s="223"/>
      <c r="M5" s="222"/>
      <c r="N5" s="222"/>
      <c r="O5" s="222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3"/>
      <c r="AS5" s="223"/>
      <c r="AT5" s="223"/>
      <c r="AU5" s="223"/>
      <c r="AV5" s="223"/>
      <c r="AW5" s="223"/>
      <c r="AX5" s="223"/>
      <c r="AY5" s="223"/>
      <c r="AZ5" s="223"/>
      <c r="BA5" s="223"/>
      <c r="BB5" s="223"/>
      <c r="BC5" s="223"/>
      <c r="BD5" s="223"/>
      <c r="BE5" s="223"/>
    </row>
    <row r="6" spans="1:63" s="226" customFormat="1" x14ac:dyDescent="0.25">
      <c r="A6" s="454"/>
      <c r="B6" s="598"/>
      <c r="C6" s="456"/>
      <c r="D6" s="456"/>
      <c r="E6" s="456"/>
      <c r="F6" s="460"/>
      <c r="G6" s="460"/>
      <c r="H6" s="461"/>
      <c r="I6" s="461"/>
      <c r="J6" s="461"/>
      <c r="K6" s="461"/>
      <c r="L6" s="223"/>
      <c r="M6" s="222"/>
      <c r="N6" s="222"/>
      <c r="O6" s="222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3"/>
      <c r="AT6" s="223"/>
      <c r="AU6" s="223"/>
      <c r="AV6" s="223"/>
      <c r="AW6" s="223"/>
      <c r="AX6" s="223"/>
      <c r="AY6" s="223"/>
      <c r="AZ6" s="223"/>
      <c r="BA6" s="223"/>
      <c r="BB6" s="223"/>
      <c r="BC6" s="223"/>
      <c r="BD6" s="223"/>
      <c r="BE6" s="223"/>
    </row>
    <row r="7" spans="1:63" s="226" customFormat="1" x14ac:dyDescent="0.25">
      <c r="A7" s="593" t="s">
        <v>95</v>
      </c>
      <c r="B7" s="594"/>
      <c r="C7" s="283">
        <v>275</v>
      </c>
      <c r="D7" s="283">
        <v>30</v>
      </c>
      <c r="E7" s="54">
        <f>IF(D7&gt;0,C7*D7,"")</f>
        <v>8250</v>
      </c>
      <c r="F7" s="54">
        <f>E35+K15</f>
        <v>5180.625</v>
      </c>
      <c r="G7" s="54">
        <f>F7-E$40</f>
        <v>4449.0249999999996</v>
      </c>
      <c r="H7" s="123">
        <f>IF(D7="","",E7-F7)</f>
        <v>3069.375</v>
      </c>
      <c r="I7" s="123">
        <f>IF(H7="","",H7+E$40)</f>
        <v>3800.9749999999999</v>
      </c>
      <c r="J7" s="57">
        <f>F7/C7</f>
        <v>18.838636363636365</v>
      </c>
      <c r="K7" s="57">
        <f>G7/C7</f>
        <v>16.178272727272727</v>
      </c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</row>
    <row r="8" spans="1:63" s="226" customFormat="1" ht="21.75" thickBot="1" x14ac:dyDescent="0.3">
      <c r="A8" s="462"/>
      <c r="B8" s="462"/>
      <c r="C8" s="462"/>
      <c r="D8" s="462"/>
      <c r="E8" s="462"/>
      <c r="F8" s="462"/>
      <c r="G8" s="462"/>
      <c r="H8" s="462"/>
      <c r="I8" s="462"/>
      <c r="J8" s="462"/>
      <c r="K8" s="462"/>
      <c r="L8" s="89"/>
      <c r="M8" s="222"/>
      <c r="N8" s="222"/>
      <c r="O8" s="222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</row>
    <row r="9" spans="1:63" s="226" customFormat="1" x14ac:dyDescent="0.25">
      <c r="A9" s="463" t="s">
        <v>144</v>
      </c>
      <c r="B9" s="463"/>
      <c r="C9" s="463"/>
      <c r="D9" s="463"/>
      <c r="E9" s="464"/>
      <c r="F9" s="469" t="s">
        <v>192</v>
      </c>
      <c r="G9" s="588" t="s">
        <v>150</v>
      </c>
      <c r="H9" s="589"/>
      <c r="I9" s="589"/>
      <c r="J9" s="589"/>
      <c r="K9" s="590"/>
      <c r="L9" s="89"/>
      <c r="M9" s="222"/>
      <c r="N9" s="222"/>
      <c r="O9" s="222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223"/>
      <c r="AS9" s="223"/>
      <c r="AT9" s="223"/>
      <c r="AU9" s="223"/>
      <c r="AV9" s="223"/>
      <c r="AW9" s="223"/>
      <c r="AX9" s="223"/>
      <c r="AY9" s="223"/>
      <c r="AZ9" s="223"/>
      <c r="BA9" s="223"/>
      <c r="BB9" s="223"/>
      <c r="BC9" s="223"/>
      <c r="BD9" s="223"/>
      <c r="BE9" s="223"/>
      <c r="BF9" s="223"/>
    </row>
    <row r="10" spans="1:63" s="226" customFormat="1" x14ac:dyDescent="0.25">
      <c r="A10" s="465"/>
      <c r="B10" s="465"/>
      <c r="C10" s="465"/>
      <c r="D10" s="465"/>
      <c r="E10" s="466"/>
      <c r="F10" s="470"/>
      <c r="G10" s="472"/>
      <c r="H10" s="473"/>
      <c r="I10" s="473"/>
      <c r="J10" s="473"/>
      <c r="K10" s="591"/>
      <c r="L10" s="228"/>
      <c r="M10" s="228"/>
      <c r="N10" s="229"/>
      <c r="O10" s="229"/>
      <c r="P10" s="229"/>
      <c r="Q10" s="229"/>
      <c r="R10" s="222"/>
      <c r="S10" s="222"/>
      <c r="T10" s="222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  <c r="AL10" s="223"/>
      <c r="AM10" s="223"/>
      <c r="AN10" s="223"/>
      <c r="AO10" s="223"/>
      <c r="AP10" s="223"/>
      <c r="AQ10" s="223"/>
      <c r="AR10" s="223"/>
      <c r="AS10" s="223"/>
      <c r="AT10" s="223"/>
      <c r="AU10" s="223"/>
      <c r="AV10" s="223"/>
      <c r="AW10" s="223"/>
      <c r="AX10" s="223"/>
      <c r="AY10" s="223"/>
      <c r="AZ10" s="223"/>
      <c r="BA10" s="223"/>
      <c r="BB10" s="223"/>
      <c r="BC10" s="223"/>
      <c r="BD10" s="223"/>
      <c r="BE10" s="223"/>
      <c r="BF10" s="223"/>
      <c r="BG10" s="223"/>
      <c r="BH10" s="223"/>
      <c r="BI10" s="223"/>
      <c r="BJ10" s="223"/>
      <c r="BK10" s="223"/>
    </row>
    <row r="11" spans="1:63" s="226" customFormat="1" x14ac:dyDescent="0.25">
      <c r="A11" s="467"/>
      <c r="B11" s="467"/>
      <c r="C11" s="467"/>
      <c r="D11" s="467"/>
      <c r="E11" s="468"/>
      <c r="F11" s="470"/>
      <c r="G11" s="474"/>
      <c r="H11" s="475"/>
      <c r="I11" s="475"/>
      <c r="J11" s="475"/>
      <c r="K11" s="592"/>
      <c r="L11" s="229"/>
      <c r="M11" s="229"/>
      <c r="N11" s="229"/>
      <c r="O11" s="229"/>
      <c r="P11" s="222"/>
      <c r="Q11" s="222"/>
      <c r="R11" s="222"/>
      <c r="S11" s="222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3"/>
      <c r="BI11" s="223"/>
    </row>
    <row r="12" spans="1:63" s="226" customFormat="1" ht="21.75" thickBot="1" x14ac:dyDescent="0.3">
      <c r="A12" s="476" t="s">
        <v>108</v>
      </c>
      <c r="B12" s="477"/>
      <c r="C12" s="477"/>
      <c r="D12" s="478"/>
      <c r="E12" s="329">
        <v>1600</v>
      </c>
      <c r="F12" s="587"/>
      <c r="G12" s="480" t="s">
        <v>122</v>
      </c>
      <c r="H12" s="480"/>
      <c r="I12" s="480"/>
      <c r="J12" s="230" t="s">
        <v>123</v>
      </c>
      <c r="K12" s="276" t="s">
        <v>116</v>
      </c>
      <c r="L12" s="229"/>
      <c r="M12" s="229"/>
      <c r="N12" s="229"/>
      <c r="O12" s="231"/>
      <c r="P12" s="222"/>
      <c r="Q12" s="222"/>
      <c r="R12" s="222"/>
      <c r="S12" s="222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  <c r="AY12" s="223"/>
      <c r="AZ12" s="223"/>
      <c r="BA12" s="223"/>
      <c r="BB12" s="223"/>
      <c r="BC12" s="223"/>
      <c r="BD12" s="223"/>
      <c r="BE12" s="223"/>
      <c r="BF12" s="223"/>
      <c r="BG12" s="223"/>
      <c r="BH12" s="223"/>
      <c r="BI12" s="223"/>
    </row>
    <row r="13" spans="1:63" s="226" customFormat="1" ht="21" customHeight="1" x14ac:dyDescent="0.25">
      <c r="A13" s="483" t="s">
        <v>99</v>
      </c>
      <c r="B13" s="484"/>
      <c r="C13" s="583" t="s">
        <v>110</v>
      </c>
      <c r="D13" s="584"/>
      <c r="E13" s="262" t="s">
        <v>109</v>
      </c>
      <c r="F13" s="573" t="s">
        <v>197</v>
      </c>
      <c r="G13" s="523" t="s">
        <v>196</v>
      </c>
      <c r="H13" s="524"/>
      <c r="I13" s="524"/>
      <c r="J13" s="81">
        <f>VLOOKUP(G13,'FİYAT LİSTESİ'!G:I,3,0)</f>
        <v>268</v>
      </c>
      <c r="K13" s="81">
        <f>VLOOKUP(G13,'FİYAT LİSTESİ'!G:I,3,0)</f>
        <v>268</v>
      </c>
      <c r="L13" s="229"/>
      <c r="M13" s="229"/>
      <c r="N13" s="229"/>
      <c r="O13" s="223"/>
      <c r="P13" s="223"/>
      <c r="Q13" s="223"/>
      <c r="R13" s="223"/>
      <c r="S13" s="223"/>
      <c r="T13" s="222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3"/>
      <c r="AN13" s="223"/>
      <c r="AO13" s="223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3"/>
      <c r="BE13" s="223"/>
      <c r="BF13" s="223"/>
      <c r="BG13" s="223"/>
      <c r="BH13" s="223"/>
      <c r="BI13" s="223"/>
      <c r="BJ13" s="223"/>
    </row>
    <row r="14" spans="1:63" s="226" customFormat="1" ht="21" customHeight="1" x14ac:dyDescent="0.25">
      <c r="A14" s="485"/>
      <c r="B14" s="486"/>
      <c r="C14" s="579" t="s">
        <v>100</v>
      </c>
      <c r="D14" s="580"/>
      <c r="E14" s="119">
        <f>VLOOKUP(C14,'FİYAT LİSTESİ'!B:D,3,0)</f>
        <v>375</v>
      </c>
      <c r="F14" s="574"/>
      <c r="G14" s="572" t="s">
        <v>198</v>
      </c>
      <c r="H14" s="572"/>
      <c r="I14" s="572"/>
      <c r="J14" s="81">
        <f>VLOOKUP(G14,'FİYAT LİSTESİ'!G:I,3,0)</f>
        <v>555</v>
      </c>
      <c r="K14" s="277">
        <f>J14*C7/1000</f>
        <v>152.625</v>
      </c>
      <c r="L14" s="229"/>
      <c r="M14" s="229"/>
      <c r="N14" s="229"/>
      <c r="O14" s="223"/>
      <c r="P14" s="223"/>
      <c r="Q14" s="223"/>
      <c r="R14" s="223"/>
      <c r="S14" s="223"/>
      <c r="T14" s="222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23"/>
      <c r="AZ14" s="223"/>
      <c r="BA14" s="223"/>
      <c r="BB14" s="223"/>
      <c r="BC14" s="223"/>
      <c r="BD14" s="223"/>
      <c r="BE14" s="223"/>
      <c r="BF14" s="223"/>
      <c r="BG14" s="223"/>
      <c r="BH14" s="223"/>
      <c r="BI14" s="223"/>
      <c r="BJ14" s="223"/>
    </row>
    <row r="15" spans="1:63" s="226" customFormat="1" ht="21" customHeight="1" thickBot="1" x14ac:dyDescent="0.3">
      <c r="A15" s="485"/>
      <c r="B15" s="486"/>
      <c r="C15" s="585" t="s">
        <v>101</v>
      </c>
      <c r="D15" s="586"/>
      <c r="E15" s="119">
        <f>VLOOKUP(C15,'FİYAT LİSTESİ'!B:D,3,0)</f>
        <v>305</v>
      </c>
      <c r="F15" s="575"/>
      <c r="G15" s="576" t="s">
        <v>18</v>
      </c>
      <c r="H15" s="576"/>
      <c r="I15" s="576"/>
      <c r="J15" s="577"/>
      <c r="K15" s="278">
        <f>SUM(K13:K14)</f>
        <v>420.625</v>
      </c>
      <c r="L15" s="229"/>
      <c r="M15" s="229"/>
      <c r="N15" s="229"/>
      <c r="O15" s="223"/>
      <c r="P15" s="223"/>
      <c r="Q15" s="223"/>
      <c r="R15" s="223"/>
      <c r="S15" s="223"/>
      <c r="T15" s="222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  <c r="AO15" s="223"/>
      <c r="AP15" s="223"/>
      <c r="AQ15" s="223"/>
      <c r="AR15" s="223"/>
      <c r="AS15" s="223"/>
      <c r="AT15" s="223"/>
      <c r="AU15" s="223"/>
      <c r="AV15" s="223"/>
      <c r="AW15" s="223"/>
      <c r="AX15" s="223"/>
      <c r="AY15" s="223"/>
      <c r="AZ15" s="223"/>
      <c r="BA15" s="223"/>
      <c r="BB15" s="223"/>
      <c r="BC15" s="223"/>
      <c r="BD15" s="223"/>
      <c r="BE15" s="223"/>
      <c r="BF15" s="223"/>
      <c r="BG15" s="223"/>
      <c r="BH15" s="223"/>
      <c r="BI15" s="223"/>
      <c r="BJ15" s="223"/>
    </row>
    <row r="16" spans="1:63" s="226" customFormat="1" ht="21" customHeight="1" x14ac:dyDescent="0.25">
      <c r="A16" s="485"/>
      <c r="B16" s="486"/>
      <c r="C16" s="579" t="s">
        <v>102</v>
      </c>
      <c r="D16" s="580"/>
      <c r="E16" s="119">
        <f>VLOOKUP(C16,'FİYAT LİSTESİ'!B:D,3,0)</f>
        <v>165</v>
      </c>
      <c r="F16" s="279"/>
      <c r="G16" s="223"/>
      <c r="H16" s="223"/>
      <c r="I16" s="223"/>
      <c r="J16" s="223"/>
      <c r="K16" s="223"/>
      <c r="L16" s="141"/>
      <c r="M16" s="233"/>
      <c r="N16" s="233"/>
      <c r="O16" s="223"/>
      <c r="P16" s="223"/>
      <c r="Q16" s="223"/>
      <c r="R16" s="223"/>
      <c r="S16" s="223"/>
      <c r="T16" s="222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223"/>
      <c r="AS16" s="223"/>
      <c r="AT16" s="223"/>
      <c r="AU16" s="223"/>
      <c r="AV16" s="223"/>
      <c r="AW16" s="223"/>
      <c r="AX16" s="223"/>
      <c r="AY16" s="223"/>
      <c r="AZ16" s="223"/>
      <c r="BA16" s="223"/>
      <c r="BB16" s="223"/>
      <c r="BC16" s="223"/>
      <c r="BD16" s="223"/>
      <c r="BE16" s="223"/>
      <c r="BF16" s="223"/>
      <c r="BG16" s="223"/>
      <c r="BH16" s="223"/>
      <c r="BI16" s="223"/>
      <c r="BJ16" s="223"/>
    </row>
    <row r="17" spans="1:63" s="226" customFormat="1" ht="21" customHeight="1" x14ac:dyDescent="0.25">
      <c r="A17" s="487"/>
      <c r="B17" s="488"/>
      <c r="C17" s="581" t="s">
        <v>18</v>
      </c>
      <c r="D17" s="582"/>
      <c r="E17" s="120">
        <f>SUM(E14:E16)</f>
        <v>845</v>
      </c>
      <c r="F17" s="222"/>
      <c r="G17" s="222"/>
      <c r="H17" s="223"/>
      <c r="I17" s="223"/>
      <c r="J17" s="223"/>
      <c r="K17" s="223"/>
      <c r="L17" s="141"/>
      <c r="M17" s="229"/>
      <c r="N17" s="229"/>
      <c r="O17" s="229"/>
      <c r="P17" s="229"/>
      <c r="Q17" s="234"/>
      <c r="R17" s="223"/>
      <c r="S17" s="222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223"/>
      <c r="AO17" s="223"/>
      <c r="AP17" s="223"/>
      <c r="AQ17" s="223"/>
      <c r="AR17" s="223"/>
      <c r="AS17" s="223"/>
      <c r="AT17" s="223"/>
      <c r="AU17" s="223"/>
      <c r="AV17" s="223"/>
      <c r="AW17" s="223"/>
      <c r="AX17" s="223"/>
      <c r="AY17" s="223"/>
      <c r="AZ17" s="223"/>
      <c r="BA17" s="223"/>
      <c r="BB17" s="223"/>
      <c r="BC17" s="223"/>
      <c r="BD17" s="223"/>
      <c r="BE17" s="223"/>
      <c r="BF17" s="223"/>
      <c r="BG17" s="223"/>
      <c r="BH17" s="223"/>
      <c r="BI17" s="223"/>
      <c r="BJ17" s="223"/>
    </row>
    <row r="18" spans="1:63" s="226" customFormat="1" ht="23.25" x14ac:dyDescent="0.25">
      <c r="A18" s="263"/>
      <c r="B18" s="49"/>
      <c r="C18" s="49"/>
      <c r="D18" s="49"/>
      <c r="E18" s="49"/>
      <c r="F18" s="223"/>
      <c r="G18" s="223"/>
      <c r="H18" s="223"/>
      <c r="I18" s="222"/>
      <c r="J18" s="222"/>
      <c r="K18" s="222"/>
      <c r="L18" s="229"/>
      <c r="M18" s="229"/>
      <c r="N18" s="231"/>
      <c r="O18" s="229"/>
      <c r="P18" s="229"/>
      <c r="Q18" s="234"/>
      <c r="R18" s="222"/>
      <c r="S18" s="222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23"/>
      <c r="AN18" s="223"/>
      <c r="AO18" s="223"/>
      <c r="AP18" s="223"/>
      <c r="AQ18" s="223"/>
      <c r="AR18" s="223"/>
      <c r="AS18" s="223"/>
      <c r="AT18" s="223"/>
      <c r="AU18" s="223"/>
      <c r="AV18" s="223"/>
      <c r="AW18" s="223"/>
      <c r="AX18" s="223"/>
      <c r="AY18" s="223"/>
      <c r="AZ18" s="223"/>
      <c r="BA18" s="223"/>
      <c r="BB18" s="223"/>
      <c r="BC18" s="223"/>
      <c r="BD18" s="223"/>
      <c r="BE18" s="223"/>
      <c r="BF18" s="223"/>
      <c r="BG18" s="223"/>
      <c r="BH18" s="223"/>
      <c r="BI18" s="223"/>
      <c r="BJ18" s="223"/>
    </row>
    <row r="19" spans="1:63" s="226" customFormat="1" ht="25.5" customHeight="1" x14ac:dyDescent="0.25">
      <c r="A19" s="496" t="s">
        <v>103</v>
      </c>
      <c r="B19" s="235" t="s">
        <v>107</v>
      </c>
      <c r="C19" s="236" t="s">
        <v>223</v>
      </c>
      <c r="D19" s="237" t="s">
        <v>105</v>
      </c>
      <c r="E19" s="238" t="s">
        <v>0</v>
      </c>
      <c r="F19" s="223"/>
      <c r="G19" s="222"/>
      <c r="H19" s="222"/>
      <c r="I19" s="222"/>
      <c r="J19" s="222"/>
      <c r="K19" s="222"/>
      <c r="L19" s="239"/>
      <c r="M19" s="231"/>
      <c r="N19" s="229"/>
      <c r="O19" s="231"/>
      <c r="P19" s="234"/>
      <c r="Q19" s="222"/>
      <c r="R19" s="222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  <c r="AL19" s="223"/>
      <c r="AM19" s="223"/>
      <c r="AN19" s="223"/>
      <c r="AO19" s="223"/>
      <c r="AP19" s="223"/>
      <c r="AQ19" s="223"/>
      <c r="AR19" s="223"/>
      <c r="AS19" s="223"/>
      <c r="AT19" s="223"/>
      <c r="AU19" s="223"/>
      <c r="AV19" s="223"/>
      <c r="AW19" s="223"/>
      <c r="AX19" s="223"/>
      <c r="AY19" s="223"/>
      <c r="AZ19" s="223"/>
      <c r="BA19" s="223"/>
      <c r="BB19" s="223"/>
      <c r="BC19" s="223"/>
      <c r="BD19" s="223"/>
      <c r="BE19" s="223"/>
      <c r="BF19" s="223"/>
      <c r="BG19" s="223"/>
      <c r="BH19" s="223"/>
      <c r="BI19" s="223"/>
    </row>
    <row r="20" spans="1:63" s="226" customFormat="1" ht="21" customHeight="1" x14ac:dyDescent="0.25">
      <c r="A20" s="497"/>
      <c r="B20" s="240" t="s">
        <v>157</v>
      </c>
      <c r="C20" s="327">
        <v>6000</v>
      </c>
      <c r="D20" s="80">
        <f>VLOOKUP(B20,'FİYAT LİSTESİ'!B:D,3,0)</f>
        <v>9000</v>
      </c>
      <c r="E20" s="80">
        <f>C20*D20/150000</f>
        <v>360</v>
      </c>
      <c r="F20" s="223"/>
      <c r="G20" s="222"/>
      <c r="H20" s="222"/>
      <c r="I20" s="222"/>
      <c r="J20" s="222"/>
      <c r="K20" s="222"/>
      <c r="L20" s="229"/>
      <c r="M20" s="231"/>
      <c r="N20" s="239"/>
      <c r="O20" s="229"/>
      <c r="P20" s="229"/>
      <c r="Q20" s="231"/>
      <c r="R20" s="234"/>
      <c r="S20" s="222"/>
      <c r="T20" s="222"/>
      <c r="U20" s="222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  <c r="AY20" s="223"/>
      <c r="AZ20" s="223"/>
      <c r="BA20" s="223"/>
      <c r="BB20" s="223"/>
      <c r="BC20" s="223"/>
      <c r="BD20" s="223"/>
      <c r="BE20" s="223"/>
      <c r="BF20" s="223"/>
      <c r="BG20" s="223"/>
      <c r="BH20" s="223"/>
      <c r="BI20" s="223"/>
      <c r="BJ20" s="223"/>
      <c r="BK20" s="223"/>
    </row>
    <row r="21" spans="1:63" s="226" customFormat="1" x14ac:dyDescent="0.25">
      <c r="A21" s="497"/>
      <c r="B21" s="241"/>
      <c r="C21" s="242"/>
      <c r="D21" s="62"/>
      <c r="E21" s="63"/>
      <c r="F21" s="222"/>
      <c r="G21" s="222"/>
      <c r="H21" s="222"/>
      <c r="I21" s="222"/>
      <c r="J21" s="222"/>
      <c r="K21" s="222"/>
      <c r="L21" s="223"/>
      <c r="M21" s="223"/>
      <c r="N21" s="223"/>
      <c r="O21" s="229"/>
      <c r="P21" s="229"/>
      <c r="Q21" s="231"/>
      <c r="R21" s="234"/>
      <c r="S21" s="222"/>
      <c r="T21" s="222"/>
      <c r="U21" s="222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23"/>
      <c r="AN21" s="223"/>
      <c r="AO21" s="223"/>
      <c r="AP21" s="223"/>
      <c r="AQ21" s="223"/>
      <c r="AR21" s="223"/>
      <c r="AS21" s="223"/>
      <c r="AT21" s="223"/>
      <c r="AU21" s="223"/>
      <c r="AV21" s="223"/>
      <c r="AW21" s="223"/>
      <c r="AX21" s="223"/>
      <c r="AY21" s="223"/>
      <c r="AZ21" s="223"/>
      <c r="BA21" s="223"/>
      <c r="BB21" s="223"/>
      <c r="BC21" s="223"/>
      <c r="BD21" s="223"/>
      <c r="BE21" s="223"/>
      <c r="BF21" s="223"/>
      <c r="BG21" s="223"/>
      <c r="BH21" s="223"/>
      <c r="BI21" s="223"/>
      <c r="BJ21" s="223"/>
      <c r="BK21" s="223"/>
    </row>
    <row r="22" spans="1:63" s="226" customFormat="1" ht="27.6" customHeight="1" x14ac:dyDescent="0.25">
      <c r="A22" s="578"/>
      <c r="B22" s="243" t="s">
        <v>18</v>
      </c>
      <c r="C22" s="244"/>
      <c r="D22" s="64"/>
      <c r="E22" s="65">
        <f>SUM(E20+E21)</f>
        <v>360</v>
      </c>
      <c r="F22" s="222"/>
      <c r="G22" s="222"/>
      <c r="H22" s="222"/>
      <c r="I22" s="222"/>
      <c r="J22" s="222"/>
      <c r="K22" s="222"/>
      <c r="L22" s="223"/>
      <c r="M22" s="223"/>
      <c r="N22" s="223"/>
      <c r="O22" s="229"/>
      <c r="P22" s="229"/>
      <c r="Q22" s="229"/>
      <c r="R22" s="222"/>
      <c r="S22" s="222"/>
      <c r="T22" s="222"/>
      <c r="U22" s="222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  <c r="AR22" s="223"/>
      <c r="AS22" s="223"/>
      <c r="AT22" s="223"/>
      <c r="AU22" s="223"/>
      <c r="AV22" s="223"/>
      <c r="AW22" s="223"/>
      <c r="AX22" s="223"/>
      <c r="AY22" s="223"/>
      <c r="AZ22" s="223"/>
      <c r="BA22" s="223"/>
      <c r="BB22" s="223"/>
      <c r="BC22" s="223"/>
      <c r="BD22" s="223"/>
      <c r="BE22" s="223"/>
      <c r="BF22" s="223"/>
      <c r="BG22" s="223"/>
      <c r="BH22" s="223"/>
      <c r="BI22" s="223"/>
      <c r="BJ22" s="223"/>
      <c r="BK22" s="223"/>
    </row>
    <row r="23" spans="1:63" s="226" customFormat="1" ht="23.25" x14ac:dyDescent="0.25">
      <c r="A23" s="504"/>
      <c r="B23" s="504"/>
      <c r="C23" s="504"/>
      <c r="D23" s="504"/>
      <c r="E23" s="505"/>
      <c r="F23" s="222"/>
      <c r="G23" s="222"/>
      <c r="H23" s="222"/>
      <c r="I23" s="222"/>
      <c r="J23" s="222"/>
      <c r="K23" s="222"/>
      <c r="L23" s="223"/>
      <c r="M23" s="223"/>
      <c r="N23" s="223"/>
      <c r="O23" s="229"/>
      <c r="P23" s="229"/>
      <c r="Q23" s="229"/>
      <c r="R23" s="222"/>
      <c r="S23" s="222"/>
      <c r="T23" s="222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O23" s="223"/>
      <c r="AP23" s="223"/>
      <c r="AQ23" s="223"/>
      <c r="AR23" s="223"/>
      <c r="AS23" s="223"/>
      <c r="AT23" s="223"/>
      <c r="AU23" s="223"/>
      <c r="AV23" s="223"/>
      <c r="AW23" s="223"/>
      <c r="AX23" s="223"/>
      <c r="AY23" s="223"/>
      <c r="AZ23" s="223"/>
      <c r="BA23" s="223"/>
      <c r="BB23" s="223"/>
      <c r="BC23" s="223"/>
      <c r="BD23" s="223"/>
      <c r="BE23" s="223"/>
      <c r="BF23" s="223"/>
      <c r="BG23" s="223"/>
      <c r="BH23" s="223"/>
      <c r="BI23" s="223"/>
      <c r="BJ23" s="223"/>
      <c r="BK23" s="223"/>
    </row>
    <row r="24" spans="1:63" s="226" customFormat="1" ht="30" customHeight="1" x14ac:dyDescent="0.25">
      <c r="A24" s="506" t="s">
        <v>111</v>
      </c>
      <c r="B24" s="101" t="s">
        <v>110</v>
      </c>
      <c r="C24" s="245" t="s">
        <v>104</v>
      </c>
      <c r="D24" s="245" t="s">
        <v>105</v>
      </c>
      <c r="E24" s="245" t="s">
        <v>0</v>
      </c>
      <c r="F24" s="222"/>
      <c r="G24" s="222"/>
      <c r="H24" s="222"/>
      <c r="I24" s="222"/>
      <c r="J24" s="222"/>
      <c r="K24" s="222"/>
      <c r="L24" s="223"/>
      <c r="M24" s="223"/>
      <c r="N24" s="223"/>
      <c r="O24" s="229"/>
      <c r="P24" s="229"/>
      <c r="Q24" s="229"/>
      <c r="R24" s="222"/>
      <c r="S24" s="222"/>
      <c r="T24" s="222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  <c r="AL24" s="223"/>
      <c r="AM24" s="223"/>
      <c r="AN24" s="223"/>
      <c r="AO24" s="223"/>
      <c r="AP24" s="223"/>
      <c r="AQ24" s="223"/>
      <c r="AR24" s="223"/>
      <c r="AS24" s="223"/>
      <c r="AT24" s="223"/>
      <c r="AU24" s="223"/>
      <c r="AV24" s="223"/>
      <c r="AW24" s="223"/>
      <c r="AX24" s="223"/>
      <c r="AY24" s="223"/>
      <c r="AZ24" s="223"/>
      <c r="BA24" s="223"/>
      <c r="BB24" s="223"/>
      <c r="BC24" s="223"/>
      <c r="BD24" s="223"/>
      <c r="BE24" s="223"/>
      <c r="BF24" s="223"/>
      <c r="BG24" s="223"/>
      <c r="BH24" s="223"/>
      <c r="BI24" s="223"/>
      <c r="BJ24" s="223"/>
      <c r="BK24" s="223"/>
    </row>
    <row r="25" spans="1:63" s="226" customFormat="1" x14ac:dyDescent="0.25">
      <c r="A25" s="507"/>
      <c r="B25" s="217" t="s">
        <v>85</v>
      </c>
      <c r="C25" s="292">
        <v>25</v>
      </c>
      <c r="D25" s="103">
        <f>VLOOKUP(B25,'FİYAT LİSTESİ'!B:D,3,0)</f>
        <v>24</v>
      </c>
      <c r="E25" s="104">
        <f>D25*C25</f>
        <v>600</v>
      </c>
      <c r="F25" s="222"/>
      <c r="G25" s="222"/>
      <c r="H25" s="222"/>
      <c r="I25" s="222"/>
      <c r="J25" s="222"/>
      <c r="K25" s="222"/>
      <c r="L25" s="223"/>
      <c r="M25" s="223"/>
      <c r="N25" s="223"/>
      <c r="O25" s="229"/>
      <c r="P25" s="229"/>
      <c r="Q25" s="231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223"/>
      <c r="AH25" s="223"/>
      <c r="AI25" s="223"/>
      <c r="AJ25" s="223"/>
      <c r="AK25" s="223"/>
      <c r="AL25" s="223"/>
      <c r="AM25" s="223"/>
      <c r="AN25" s="223"/>
      <c r="AO25" s="223"/>
      <c r="AP25" s="223"/>
      <c r="AQ25" s="223"/>
      <c r="AR25" s="223"/>
      <c r="AS25" s="223"/>
      <c r="AT25" s="223"/>
      <c r="AU25" s="223"/>
      <c r="AV25" s="223"/>
      <c r="AW25" s="223"/>
      <c r="AX25" s="223"/>
      <c r="AY25" s="223"/>
      <c r="AZ25" s="223"/>
      <c r="BA25" s="223"/>
      <c r="BB25" s="223"/>
      <c r="BC25" s="223"/>
      <c r="BD25" s="223"/>
      <c r="BE25" s="223"/>
      <c r="BF25" s="223"/>
      <c r="BG25" s="223"/>
      <c r="BH25" s="223"/>
      <c r="BI25" s="223"/>
      <c r="BJ25" s="223"/>
      <c r="BK25" s="223"/>
    </row>
    <row r="26" spans="1:63" s="226" customFormat="1" ht="20.25" customHeight="1" x14ac:dyDescent="0.25">
      <c r="A26" s="507"/>
      <c r="B26" s="247" t="s">
        <v>98</v>
      </c>
      <c r="C26" s="292">
        <v>15</v>
      </c>
      <c r="D26" s="103">
        <f>VLOOKUP(B26,'FİYAT LİSTESİ'!B:D,3,0)</f>
        <v>23</v>
      </c>
      <c r="E26" s="104">
        <f>D26*C26</f>
        <v>345</v>
      </c>
      <c r="F26" s="222"/>
      <c r="G26" s="222"/>
      <c r="H26" s="222"/>
      <c r="I26" s="222"/>
      <c r="J26" s="222"/>
      <c r="K26" s="222"/>
      <c r="L26" s="223"/>
      <c r="M26" s="223"/>
      <c r="N26" s="223"/>
      <c r="O26" s="229"/>
      <c r="P26" s="229"/>
      <c r="Q26" s="231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  <c r="AO26" s="223"/>
      <c r="AP26" s="223"/>
      <c r="AQ26" s="223"/>
      <c r="AR26" s="223"/>
      <c r="AS26" s="223"/>
      <c r="AT26" s="223"/>
      <c r="AU26" s="223"/>
      <c r="AV26" s="223"/>
      <c r="AW26" s="223"/>
      <c r="AX26" s="223"/>
      <c r="AY26" s="223"/>
      <c r="AZ26" s="223"/>
      <c r="BA26" s="223"/>
      <c r="BB26" s="223"/>
      <c r="BC26" s="223"/>
      <c r="BD26" s="223"/>
      <c r="BE26" s="223"/>
      <c r="BF26" s="223"/>
      <c r="BG26" s="223"/>
      <c r="BH26" s="223"/>
      <c r="BI26" s="223"/>
      <c r="BJ26" s="223"/>
      <c r="BK26" s="223"/>
    </row>
    <row r="27" spans="1:63" s="226" customFormat="1" x14ac:dyDescent="0.25">
      <c r="A27" s="507"/>
      <c r="B27" s="247" t="s">
        <v>112</v>
      </c>
      <c r="C27" s="292">
        <v>1</v>
      </c>
      <c r="D27" s="103">
        <f>VLOOKUP(B27,'FİYAT LİSTESİ'!B:D,3,0)</f>
        <v>450</v>
      </c>
      <c r="E27" s="104">
        <f>IF(C27="YOK",0,D27*C27)</f>
        <v>450</v>
      </c>
      <c r="F27" s="222"/>
      <c r="G27" s="222"/>
      <c r="H27" s="222"/>
      <c r="I27" s="222"/>
      <c r="J27" s="222"/>
      <c r="K27" s="222"/>
      <c r="L27" s="223"/>
      <c r="M27" s="223"/>
      <c r="N27" s="223"/>
      <c r="O27" s="231"/>
      <c r="P27" s="231"/>
      <c r="Q27" s="231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  <c r="AL27" s="223"/>
      <c r="AM27" s="223"/>
      <c r="AN27" s="223"/>
      <c r="AO27" s="223"/>
      <c r="AP27" s="223"/>
      <c r="AQ27" s="223"/>
      <c r="AR27" s="223"/>
      <c r="AS27" s="223"/>
      <c r="AT27" s="223"/>
      <c r="AU27" s="223"/>
      <c r="AV27" s="223"/>
      <c r="AW27" s="223"/>
      <c r="AX27" s="223"/>
      <c r="AY27" s="223"/>
      <c r="AZ27" s="223"/>
      <c r="BA27" s="223"/>
      <c r="BB27" s="223"/>
      <c r="BC27" s="223"/>
      <c r="BD27" s="223"/>
      <c r="BE27" s="223"/>
      <c r="BF27" s="223"/>
      <c r="BG27" s="223"/>
      <c r="BH27" s="223"/>
      <c r="BI27" s="223"/>
      <c r="BJ27" s="223"/>
      <c r="BK27" s="223"/>
    </row>
    <row r="28" spans="1:63" s="226" customFormat="1" x14ac:dyDescent="0.25">
      <c r="A28" s="507"/>
      <c r="B28" s="248"/>
      <c r="C28" s="326" t="s">
        <v>117</v>
      </c>
      <c r="D28" s="217" t="s">
        <v>116</v>
      </c>
      <c r="E28" s="104" t="s">
        <v>0</v>
      </c>
      <c r="F28" s="222"/>
      <c r="G28" s="222"/>
      <c r="H28" s="222"/>
      <c r="I28" s="222"/>
      <c r="J28" s="222"/>
      <c r="K28" s="222"/>
      <c r="L28" s="223"/>
      <c r="M28" s="223"/>
      <c r="N28" s="223"/>
      <c r="O28" s="231"/>
      <c r="P28" s="231"/>
      <c r="Q28" s="231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223"/>
      <c r="AS28" s="223"/>
      <c r="AT28" s="223"/>
      <c r="AU28" s="223"/>
      <c r="AV28" s="223"/>
      <c r="AW28" s="223"/>
      <c r="AX28" s="223"/>
      <c r="AY28" s="223"/>
      <c r="AZ28" s="223"/>
      <c r="BA28" s="223"/>
      <c r="BB28" s="223"/>
      <c r="BC28" s="223"/>
      <c r="BD28" s="223"/>
      <c r="BE28" s="223"/>
      <c r="BF28" s="223"/>
      <c r="BG28" s="223"/>
      <c r="BH28" s="223"/>
      <c r="BI28" s="223"/>
      <c r="BJ28" s="223"/>
      <c r="BK28" s="223"/>
    </row>
    <row r="29" spans="1:63" s="226" customFormat="1" x14ac:dyDescent="0.25">
      <c r="A29" s="507"/>
      <c r="B29" s="249" t="s">
        <v>86</v>
      </c>
      <c r="C29" s="293">
        <v>1</v>
      </c>
      <c r="D29" s="250">
        <f>VLOOKUP(B29,'FİYAT LİSTESİ'!B:D,3,0)</f>
        <v>55</v>
      </c>
      <c r="E29" s="104">
        <f>IF(C29="YOK",0,D29*C29)</f>
        <v>55</v>
      </c>
      <c r="F29" s="222"/>
      <c r="G29" s="222"/>
      <c r="H29" s="222"/>
      <c r="I29" s="222"/>
      <c r="J29" s="222"/>
      <c r="K29" s="222"/>
      <c r="L29" s="231"/>
      <c r="M29" s="231"/>
      <c r="N29" s="231"/>
      <c r="O29" s="231"/>
      <c r="P29" s="231"/>
      <c r="Q29" s="231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  <c r="AL29" s="223"/>
      <c r="AM29" s="223"/>
      <c r="AN29" s="223"/>
      <c r="AO29" s="223"/>
      <c r="AP29" s="223"/>
      <c r="AQ29" s="223"/>
      <c r="AR29" s="223"/>
      <c r="AS29" s="223"/>
      <c r="AT29" s="223"/>
      <c r="AU29" s="223"/>
      <c r="AV29" s="223"/>
      <c r="AW29" s="223"/>
      <c r="AX29" s="223"/>
      <c r="AY29" s="223"/>
      <c r="AZ29" s="223"/>
      <c r="BA29" s="223"/>
      <c r="BB29" s="223"/>
      <c r="BC29" s="223"/>
      <c r="BD29" s="223"/>
      <c r="BE29" s="223"/>
      <c r="BF29" s="223"/>
      <c r="BG29" s="223"/>
      <c r="BH29" s="223"/>
      <c r="BI29" s="223"/>
      <c r="BJ29" s="223"/>
      <c r="BK29" s="223"/>
    </row>
    <row r="30" spans="1:63" s="226" customFormat="1" x14ac:dyDescent="0.25">
      <c r="A30" s="507"/>
      <c r="B30" s="217" t="s">
        <v>114</v>
      </c>
      <c r="C30" s="292">
        <v>1</v>
      </c>
      <c r="D30" s="250">
        <f>VLOOKUP(B30,'FİYAT LİSTESİ'!B:D,3,0)</f>
        <v>55</v>
      </c>
      <c r="E30" s="104">
        <f>IF(C30="YOK",0,C30*D30)</f>
        <v>55</v>
      </c>
      <c r="F30" s="222"/>
      <c r="G30" s="222"/>
      <c r="H30" s="222"/>
      <c r="I30" s="222"/>
      <c r="J30" s="222"/>
      <c r="K30" s="222"/>
      <c r="L30" s="223"/>
      <c r="M30" s="223"/>
      <c r="N30" s="223"/>
      <c r="O30" s="231"/>
      <c r="P30" s="231"/>
      <c r="Q30" s="231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  <c r="AL30" s="223"/>
      <c r="AM30" s="223"/>
      <c r="AN30" s="223"/>
      <c r="AO30" s="223"/>
      <c r="AP30" s="223"/>
      <c r="AQ30" s="223"/>
      <c r="AR30" s="223"/>
      <c r="AS30" s="223"/>
      <c r="AT30" s="223"/>
      <c r="AU30" s="223"/>
      <c r="AV30" s="223"/>
      <c r="AW30" s="223"/>
      <c r="AX30" s="223"/>
      <c r="AY30" s="223"/>
      <c r="AZ30" s="223"/>
      <c r="BA30" s="223"/>
      <c r="BB30" s="223"/>
      <c r="BC30" s="223"/>
      <c r="BD30" s="223"/>
      <c r="BE30" s="223"/>
      <c r="BF30" s="223"/>
      <c r="BG30" s="223"/>
      <c r="BH30" s="223"/>
      <c r="BI30" s="223"/>
      <c r="BJ30" s="223"/>
      <c r="BK30" s="223"/>
    </row>
    <row r="31" spans="1:63" s="226" customFormat="1" x14ac:dyDescent="0.25">
      <c r="A31" s="507"/>
      <c r="B31" s="247" t="s">
        <v>115</v>
      </c>
      <c r="C31" s="292">
        <v>1</v>
      </c>
      <c r="D31" s="250">
        <f>VLOOKUP(B31,'FİYAT LİSTESİ'!B:D,3,0)</f>
        <v>200</v>
      </c>
      <c r="E31" s="104">
        <f>IF(C31="YOK",0,D31*C31)</f>
        <v>200</v>
      </c>
      <c r="F31" s="222"/>
      <c r="G31" s="222"/>
      <c r="H31" s="222"/>
      <c r="I31" s="222"/>
      <c r="J31" s="222"/>
      <c r="K31" s="222"/>
      <c r="L31" s="223"/>
      <c r="M31" s="223"/>
      <c r="N31" s="223"/>
      <c r="O31" s="231"/>
      <c r="P31" s="231"/>
      <c r="Q31" s="231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  <c r="AL31" s="223"/>
      <c r="AM31" s="223"/>
      <c r="AN31" s="223"/>
      <c r="AO31" s="223"/>
      <c r="AP31" s="223"/>
      <c r="AQ31" s="223"/>
      <c r="AR31" s="223"/>
      <c r="AS31" s="223"/>
      <c r="AT31" s="223"/>
      <c r="AU31" s="223"/>
      <c r="AV31" s="223"/>
      <c r="AW31" s="223"/>
      <c r="AX31" s="223"/>
      <c r="AY31" s="223"/>
      <c r="AZ31" s="223"/>
      <c r="BA31" s="223"/>
      <c r="BB31" s="223"/>
      <c r="BC31" s="223"/>
      <c r="BD31" s="223"/>
      <c r="BE31" s="223"/>
      <c r="BF31" s="223"/>
      <c r="BG31" s="223"/>
      <c r="BH31" s="223"/>
      <c r="BI31" s="223"/>
      <c r="BJ31" s="223"/>
      <c r="BK31" s="223"/>
    </row>
    <row r="32" spans="1:63" s="226" customFormat="1" ht="15.75" customHeight="1" x14ac:dyDescent="0.25">
      <c r="A32" s="507"/>
      <c r="B32" s="217" t="s">
        <v>87</v>
      </c>
      <c r="C32" s="292">
        <v>1</v>
      </c>
      <c r="D32" s="250">
        <f>VLOOKUP(B32,'FİYAT LİSTESİ'!B:D,3,0)</f>
        <v>250</v>
      </c>
      <c r="E32" s="104">
        <f>IF(C32="YOK",0,D32*C32)</f>
        <v>250</v>
      </c>
      <c r="F32" s="222"/>
      <c r="G32" s="222"/>
      <c r="H32" s="222"/>
      <c r="I32" s="222"/>
      <c r="J32" s="222"/>
      <c r="K32" s="222"/>
      <c r="L32" s="223"/>
      <c r="M32" s="223"/>
      <c r="N32" s="223"/>
      <c r="O32" s="231"/>
      <c r="P32" s="231"/>
      <c r="Q32" s="231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  <c r="AL32" s="223"/>
      <c r="AM32" s="223"/>
      <c r="AN32" s="223"/>
      <c r="AO32" s="223"/>
      <c r="AP32" s="223"/>
      <c r="AQ32" s="223"/>
      <c r="AR32" s="223"/>
      <c r="AS32" s="223"/>
      <c r="AT32" s="223"/>
      <c r="AU32" s="223"/>
      <c r="AV32" s="223"/>
      <c r="AW32" s="223"/>
      <c r="AX32" s="223"/>
      <c r="AY32" s="223"/>
      <c r="AZ32" s="223"/>
      <c r="BA32" s="223"/>
      <c r="BB32" s="223"/>
      <c r="BC32" s="223"/>
      <c r="BD32" s="223"/>
      <c r="BE32" s="223"/>
      <c r="BF32" s="223"/>
      <c r="BG32" s="223"/>
      <c r="BH32" s="223"/>
      <c r="BI32" s="223"/>
      <c r="BJ32" s="223"/>
      <c r="BK32" s="223"/>
    </row>
    <row r="33" spans="1:63" s="226" customFormat="1" ht="15.75" customHeight="1" x14ac:dyDescent="0.25">
      <c r="A33" s="507"/>
      <c r="B33" s="103" t="s">
        <v>153</v>
      </c>
      <c r="C33" s="292">
        <v>0</v>
      </c>
      <c r="D33" s="250">
        <f>VLOOKUP(B33,'FİYAT LİSTESİ'!B:D,3,0)</f>
        <v>55</v>
      </c>
      <c r="E33" s="104">
        <f>IF(C33="YOK",0,D33*C33)</f>
        <v>0</v>
      </c>
      <c r="F33" s="222"/>
      <c r="G33" s="222"/>
      <c r="H33" s="222"/>
      <c r="I33" s="222"/>
      <c r="J33" s="222"/>
      <c r="K33" s="222"/>
      <c r="L33" s="223"/>
      <c r="M33" s="223"/>
      <c r="N33" s="223"/>
      <c r="O33" s="231"/>
      <c r="P33" s="231"/>
      <c r="Q33" s="231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3"/>
      <c r="AK33" s="223"/>
      <c r="AL33" s="223"/>
      <c r="AM33" s="223"/>
      <c r="AN33" s="223"/>
      <c r="AO33" s="223"/>
      <c r="AP33" s="223"/>
      <c r="AQ33" s="223"/>
      <c r="AR33" s="223"/>
      <c r="AS33" s="223"/>
      <c r="AT33" s="223"/>
      <c r="AU33" s="223"/>
      <c r="AV33" s="223"/>
      <c r="AW33" s="223"/>
      <c r="AX33" s="223"/>
      <c r="AY33" s="223"/>
      <c r="AZ33" s="223"/>
      <c r="BA33" s="223"/>
      <c r="BB33" s="223"/>
      <c r="BC33" s="223"/>
      <c r="BD33" s="223"/>
      <c r="BE33" s="223"/>
      <c r="BF33" s="223"/>
      <c r="BG33" s="223"/>
      <c r="BH33" s="223"/>
      <c r="BI33" s="223"/>
      <c r="BJ33" s="223"/>
      <c r="BK33" s="223"/>
    </row>
    <row r="34" spans="1:63" s="226" customFormat="1" x14ac:dyDescent="0.25">
      <c r="A34" s="507"/>
      <c r="B34" s="508" t="s">
        <v>18</v>
      </c>
      <c r="C34" s="509"/>
      <c r="D34" s="510"/>
      <c r="E34" s="220">
        <f>SUM(E29:E33)+SUM(E25:E27)</f>
        <v>1955</v>
      </c>
      <c r="F34" s="222"/>
      <c r="G34" s="222"/>
      <c r="H34" s="222"/>
      <c r="I34" s="222"/>
      <c r="J34" s="222"/>
      <c r="K34" s="222"/>
      <c r="L34" s="223"/>
      <c r="M34" s="223"/>
      <c r="N34" s="223"/>
      <c r="O34" s="231"/>
      <c r="P34" s="231"/>
      <c r="Q34" s="231"/>
      <c r="R34" s="222"/>
      <c r="S34" s="222"/>
      <c r="T34" s="222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3"/>
      <c r="AO34" s="223"/>
      <c r="AP34" s="223"/>
      <c r="AQ34" s="223"/>
      <c r="AR34" s="223"/>
      <c r="AS34" s="223"/>
      <c r="AT34" s="223"/>
      <c r="AU34" s="223"/>
      <c r="AV34" s="223"/>
      <c r="AW34" s="223"/>
      <c r="AX34" s="223"/>
      <c r="AY34" s="223"/>
      <c r="AZ34" s="223"/>
      <c r="BA34" s="223"/>
      <c r="BB34" s="223"/>
      <c r="BC34" s="223"/>
      <c r="BD34" s="223"/>
      <c r="BE34" s="223"/>
      <c r="BF34" s="223"/>
      <c r="BG34" s="223"/>
      <c r="BH34" s="223"/>
      <c r="BI34" s="223"/>
      <c r="BJ34" s="223"/>
      <c r="BK34" s="223"/>
    </row>
    <row r="35" spans="1:63" s="226" customFormat="1" ht="23.25" x14ac:dyDescent="0.25">
      <c r="A35" s="517" t="s">
        <v>119</v>
      </c>
      <c r="B35" s="517"/>
      <c r="C35" s="517"/>
      <c r="D35" s="517"/>
      <c r="E35" s="68">
        <f>E12+E17+E22+E34</f>
        <v>4760</v>
      </c>
      <c r="F35" s="280"/>
      <c r="G35" s="222"/>
      <c r="H35" s="222"/>
      <c r="I35" s="222"/>
      <c r="J35" s="222"/>
      <c r="K35" s="222"/>
      <c r="L35" s="223"/>
      <c r="M35" s="223"/>
      <c r="N35" s="223"/>
      <c r="O35" s="231"/>
      <c r="P35" s="231"/>
      <c r="Q35" s="231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3"/>
      <c r="AO35" s="223"/>
      <c r="AP35" s="223"/>
      <c r="AQ35" s="223"/>
      <c r="AR35" s="223"/>
      <c r="AS35" s="223"/>
      <c r="AT35" s="223"/>
      <c r="AU35" s="223"/>
      <c r="AV35" s="223"/>
      <c r="AW35" s="223"/>
      <c r="AX35" s="223"/>
      <c r="AY35" s="223"/>
      <c r="AZ35" s="223"/>
      <c r="BA35" s="223"/>
      <c r="BB35" s="223"/>
      <c r="BC35" s="223"/>
      <c r="BD35" s="223"/>
      <c r="BE35" s="223"/>
      <c r="BF35" s="223"/>
      <c r="BG35" s="223"/>
      <c r="BH35" s="223"/>
      <c r="BI35" s="223"/>
      <c r="BJ35" s="223"/>
      <c r="BK35" s="223"/>
    </row>
    <row r="36" spans="1:63" s="226" customFormat="1" x14ac:dyDescent="0.25">
      <c r="A36" s="223"/>
      <c r="B36" s="223"/>
      <c r="C36" s="223"/>
      <c r="D36" s="223"/>
      <c r="E36" s="223"/>
      <c r="F36" s="222"/>
      <c r="G36" s="222"/>
      <c r="H36" s="222"/>
      <c r="I36" s="222"/>
      <c r="J36" s="222"/>
      <c r="K36" s="222"/>
      <c r="L36" s="223"/>
      <c r="M36" s="223"/>
      <c r="N36" s="223"/>
      <c r="O36" s="229"/>
      <c r="P36" s="229"/>
      <c r="Q36" s="231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223"/>
      <c r="AR36" s="223"/>
      <c r="AS36" s="223"/>
      <c r="AT36" s="223"/>
      <c r="AU36" s="223"/>
      <c r="AV36" s="223"/>
      <c r="AW36" s="223"/>
      <c r="AX36" s="223"/>
      <c r="AY36" s="223"/>
      <c r="AZ36" s="223"/>
      <c r="BA36" s="223"/>
      <c r="BB36" s="223"/>
      <c r="BC36" s="223"/>
      <c r="BD36" s="223"/>
      <c r="BE36" s="223"/>
      <c r="BF36" s="223"/>
      <c r="BG36" s="223"/>
      <c r="BH36" s="223"/>
      <c r="BI36" s="223"/>
      <c r="BJ36" s="223"/>
      <c r="BK36" s="223"/>
    </row>
    <row r="37" spans="1:63" x14ac:dyDescent="0.25">
      <c r="A37" s="526" t="s">
        <v>120</v>
      </c>
      <c r="B37" s="527" t="s">
        <v>90</v>
      </c>
      <c r="C37" s="528"/>
      <c r="D37" s="529"/>
      <c r="E37" s="135">
        <f>VLOOKUP(B37,'FİYAT LİSTESİ'!G:I,2,0)</f>
        <v>317</v>
      </c>
      <c r="L37" s="223"/>
      <c r="M37" s="223"/>
      <c r="N37" s="223"/>
      <c r="O37" s="231"/>
      <c r="P37" s="231"/>
      <c r="Q37" s="231"/>
    </row>
    <row r="38" spans="1:63" x14ac:dyDescent="0.25">
      <c r="A38" s="526"/>
      <c r="B38" s="527" t="s">
        <v>91</v>
      </c>
      <c r="C38" s="528"/>
      <c r="D38" s="529"/>
      <c r="E38" s="135">
        <f>VLOOKUP(B38,'FİYAT LİSTESİ'!G:I,2,0)</f>
        <v>317</v>
      </c>
      <c r="L38" s="223"/>
      <c r="M38" s="223"/>
      <c r="N38" s="223"/>
      <c r="O38" s="231"/>
      <c r="P38" s="231"/>
      <c r="Q38" s="231"/>
      <c r="R38" s="255"/>
      <c r="S38" s="255"/>
    </row>
    <row r="39" spans="1:63" x14ac:dyDescent="0.25">
      <c r="A39" s="526"/>
      <c r="B39" s="530" t="s">
        <v>92</v>
      </c>
      <c r="C39" s="531"/>
      <c r="D39" s="532"/>
      <c r="E39" s="135">
        <f>VLOOKUP(B39,'FİYAT LİSTESİ'!G:I,2,0)</f>
        <v>97.6</v>
      </c>
      <c r="L39" s="223"/>
      <c r="M39" s="223"/>
      <c r="N39" s="223"/>
      <c r="O39" s="229"/>
      <c r="P39" s="229"/>
      <c r="Q39" s="231"/>
    </row>
    <row r="40" spans="1:63" x14ac:dyDescent="0.25">
      <c r="A40" s="526"/>
      <c r="B40" s="256" t="s">
        <v>133</v>
      </c>
      <c r="C40" s="257"/>
      <c r="D40" s="258"/>
      <c r="E40" s="135">
        <f>SUM(E37:E39)</f>
        <v>731.6</v>
      </c>
      <c r="L40" s="223"/>
      <c r="M40" s="223"/>
      <c r="N40" s="223"/>
      <c r="O40" s="259"/>
      <c r="P40" s="229"/>
      <c r="Q40" s="231"/>
    </row>
    <row r="41" spans="1:63" x14ac:dyDescent="0.25">
      <c r="A41" s="520"/>
      <c r="B41" s="520"/>
      <c r="C41" s="520"/>
      <c r="D41" s="520"/>
    </row>
    <row r="43" spans="1:63" x14ac:dyDescent="0.25">
      <c r="B43" s="255"/>
      <c r="C43" s="255"/>
      <c r="D43" s="255"/>
    </row>
  </sheetData>
  <sheetProtection algorithmName="SHA-512" hashValue="af7K3AjvXZ60FlZaiPpB5zrioJ46Wr0REUsan0aZkmTSclxWFRw370AFxdGfGAGpAv9ziOoUbOLk9PQL856aVw==" saltValue="TDdxESG7Sazx1CKpNZc+tw==" spinCount="100000" sheet="1" objects="1" scenarios="1"/>
  <mergeCells count="43">
    <mergeCell ref="A37:A40"/>
    <mergeCell ref="B37:D37"/>
    <mergeCell ref="B38:D38"/>
    <mergeCell ref="B39:D39"/>
    <mergeCell ref="A1:K1"/>
    <mergeCell ref="A2:E3"/>
    <mergeCell ref="F2:K3"/>
    <mergeCell ref="C4:C6"/>
    <mergeCell ref="D4:D6"/>
    <mergeCell ref="E4:E6"/>
    <mergeCell ref="F4:G4"/>
    <mergeCell ref="H4:I4"/>
    <mergeCell ref="A4:B6"/>
    <mergeCell ref="J4:K4"/>
    <mergeCell ref="F5:F6"/>
    <mergeCell ref="G5:G6"/>
    <mergeCell ref="H5:H6"/>
    <mergeCell ref="I5:I6"/>
    <mergeCell ref="J5:J6"/>
    <mergeCell ref="K5:K6"/>
    <mergeCell ref="A8:K8"/>
    <mergeCell ref="A7:B7"/>
    <mergeCell ref="A9:E11"/>
    <mergeCell ref="F9:F12"/>
    <mergeCell ref="G9:K11"/>
    <mergeCell ref="A12:D12"/>
    <mergeCell ref="G12:I12"/>
    <mergeCell ref="G13:I13"/>
    <mergeCell ref="A41:D41"/>
    <mergeCell ref="A24:A34"/>
    <mergeCell ref="G14:I14"/>
    <mergeCell ref="F13:F15"/>
    <mergeCell ref="G15:J15"/>
    <mergeCell ref="B34:D34"/>
    <mergeCell ref="A35:D35"/>
    <mergeCell ref="A19:A22"/>
    <mergeCell ref="A23:E23"/>
    <mergeCell ref="C16:D16"/>
    <mergeCell ref="C17:D17"/>
    <mergeCell ref="A13:B17"/>
    <mergeCell ref="C13:D13"/>
    <mergeCell ref="C14:D14"/>
    <mergeCell ref="C15:D15"/>
  </mergeCells>
  <pageMargins left="0.7" right="0.7" top="0.75" bottom="0.75" header="0.3" footer="0.3"/>
  <ignoredErrors>
    <ignoredError sqref="K14 K15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13</vt:i4>
      </vt:variant>
      <vt:variant>
        <vt:lpstr>Adlandırılmış Aralıklar</vt:lpstr>
      </vt:variant>
      <vt:variant>
        <vt:i4>1</vt:i4>
      </vt:variant>
    </vt:vector>
  </HeadingPairs>
  <TitlesOfParts>
    <vt:vector size="14" baseType="lpstr">
      <vt:lpstr>varsayımlar ve kullanım</vt:lpstr>
      <vt:lpstr>MAKİNE PARKI FİYAT LİSTESİ</vt:lpstr>
      <vt:lpstr>FİYAT LİSTESİ</vt:lpstr>
      <vt:lpstr>ANA SAYFA</vt:lpstr>
      <vt:lpstr>BEZ+TRİTİ_YENİ 1</vt:lpstr>
      <vt:lpstr>M FİĞ+TRİ YENİ l 1</vt:lpstr>
      <vt:lpstr>YONCA YENİ 1</vt:lpstr>
      <vt:lpstr>MISIR YENİ 1</vt:lpstr>
      <vt:lpstr>AYÇİÇEĞİ YENİ 1</vt:lpstr>
      <vt:lpstr>BUĞDAY YENİ 1</vt:lpstr>
      <vt:lpstr>ARPA YENİ 1</vt:lpstr>
      <vt:lpstr>TOPLU</vt:lpstr>
      <vt:lpstr>DESTEK-İLETİŞİM</vt:lpstr>
      <vt:lpstr>'DESTEK-İLETİŞİM'!Yazdırma_Alanı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Acer-PC</dc:creator>
  <cp:lastModifiedBy>PC</cp:lastModifiedBy>
  <cp:lastPrinted>2026-01-12T10:12:39Z</cp:lastPrinted>
  <dcterms:created xsi:type="dcterms:W3CDTF">2019-11-14T06:56:55Z</dcterms:created>
  <dcterms:modified xsi:type="dcterms:W3CDTF">2026-02-21T06:30:46Z</dcterms:modified>
</cp:coreProperties>
</file>